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\\filefg\fgshare\Sales\20_External_Meetings\Events_2022\2022_FDS Webinars\2022-03-29 - Linear Motors and applications\"/>
    </mc:Choice>
  </mc:AlternateContent>
  <xr:revisionPtr revIDLastSave="0" documentId="13_ncr:1_{A3D0A770-137E-4A67-9075-61DEE55CBB23}" xr6:coauthVersionLast="47" xr6:coauthVersionMax="47" xr10:uidLastSave="{00000000-0000-0000-0000-000000000000}"/>
  <bookViews>
    <workbookView xWindow="-27150" yWindow="210" windowWidth="23595" windowHeight="13575" activeTab="1" xr2:uid="{00000000-000D-0000-FFFF-FFFF00000000}"/>
  </bookViews>
  <sheets>
    <sheet name="INFO" sheetId="1" r:id="rId1"/>
    <sheet name="Calculation program" sheetId="2" r:id="rId2"/>
    <sheet name="MotorDataBase" sheetId="5" r:id="rId3"/>
    <sheet name="Don't change DATA" sheetId="3" r:id="rId4"/>
  </sheets>
  <externalReferences>
    <externalReference r:id="rId5"/>
  </externalReferences>
  <definedNames>
    <definedName name="_Rth1">'Calculation program'!$F$43</definedName>
    <definedName name="_Rth2">'Calculation program'!$F$44</definedName>
    <definedName name="ab">'Calculation program'!$F$70</definedName>
    <definedName name="Accel_time" localSheetId="0">INFO!#REF!</definedName>
    <definedName name="Accel_time">'Calculation program'!$F$12</definedName>
    <definedName name="Acceleration" localSheetId="0">INFO!#REF!</definedName>
    <definedName name="Acceleration">'Calculation program'!$F$60</definedName>
    <definedName name="Acceleration_force" localSheetId="0">INFO!#REF!</definedName>
    <definedName name="Acceleration_force">'Calculation program'!#REF!</definedName>
    <definedName name="Acceleration_section" localSheetId="0">INFO!#REF!</definedName>
    <definedName name="Acceleration_section">'Calculation program'!$F$62</definedName>
    <definedName name="aemax">'Calculation program'!$F$41</definedName>
    <definedName name="alfa">'Calculation program'!$F$8</definedName>
    <definedName name="Ambient_temp" localSheetId="0">INFO!#REF!</definedName>
    <definedName name="Ambient_temp">'Calculation program'!#REF!</definedName>
    <definedName name="Coil_temp" localSheetId="0">INFO!#REF!</definedName>
    <definedName name="Coil_temp">'Calculation program'!#REF!</definedName>
    <definedName name="Cont_amps" localSheetId="0">INFO!#REF!</definedName>
    <definedName name="Cont_amps">'Calculation program'!$F$79</definedName>
    <definedName name="db">'Calculation program'!$F$71</definedName>
    <definedName name="dc">'Calculation program'!#REF!</definedName>
    <definedName name="dcb">'Calculation program'!$F$68</definedName>
    <definedName name="dcf">'Calculation program'!$F$58</definedName>
    <definedName name="Decel_time" localSheetId="0">INFO!#REF!</definedName>
    <definedName name="Decel_time">'Calculation program'!$F$14</definedName>
    <definedName name="Deceleration">'Calculation program'!$F$61</definedName>
    <definedName name="Deceleration_force">'Calculation program'!#REF!</definedName>
    <definedName name="Deceleration_section" localSheetId="0">INFO!#REF!</definedName>
    <definedName name="Deceleration_section">'Calculation program'!$F$64</definedName>
    <definedName name="des">[1]Dimensions!$C$70</definedName>
    <definedName name="det">[1]Dimensions!$C$28</definedName>
    <definedName name="Dwell_time" localSheetId="0">INFO!#REF!</definedName>
    <definedName name="Dwell_time">'Calculation program'!$F$15</definedName>
    <definedName name="F_parallel">'Calculation program'!$F$55</definedName>
    <definedName name="Femax">'Calculation program'!$F$49</definedName>
    <definedName name="Ff">'Calculation program'!$F$53</definedName>
    <definedName name="fffffffff">'Calculation program'!$F$64</definedName>
    <definedName name="Fg">'Calculation program'!$F$55</definedName>
    <definedName name="Force_applied_acceleration" localSheetId="0">INFO!#REF!</definedName>
    <definedName name="Force_applied_acceleration">'Calculation program'!$F$16</definedName>
    <definedName name="Force_applied_deceleration" localSheetId="0">INFO!#REF!</definedName>
    <definedName name="Force_applied_deceleration">'Calculation program'!$F$18</definedName>
    <definedName name="Force_applied_stop">'Calculation program'!$F$19</definedName>
    <definedName name="Force_applied_traverse" localSheetId="0">INFO!#REF!</definedName>
    <definedName name="Force_applied_traverse">'Calculation program'!$F$17</definedName>
    <definedName name="Force_constant" localSheetId="0">INFO!#REF!</definedName>
    <definedName name="Force_constant">'Calculation program'!#REF!</definedName>
    <definedName name="Fp">'Calculation program'!$F$77</definedName>
    <definedName name="Fpmax">'Calculation program'!$F$50</definedName>
    <definedName name="Friction_coefficient" localSheetId="0">INFO!#REF!</definedName>
    <definedName name="Friction_coefficient">'Calculation program'!$F$9</definedName>
    <definedName name="Friction_force" localSheetId="0">INFO!#REF!</definedName>
    <definedName name="Friction_force">'Calculation program'!#REF!</definedName>
    <definedName name="ft1b">'Calculation program'!$F$72</definedName>
    <definedName name="Ft1f">'Calculation program'!$F$62</definedName>
    <definedName name="Ft2b">'Calculation program'!$F$73</definedName>
    <definedName name="Ft3b">'Calculation program'!$F$74</definedName>
    <definedName name="Ft4b">'Calculation program'!$F$75</definedName>
    <definedName name="Fx">'Calculation program'!$F$55</definedName>
    <definedName name="Fxab">'Calculation program'!$F$25</definedName>
    <definedName name="Fxaf">'Calculation program'!$F$16</definedName>
    <definedName name="Fxdb">'Calculation program'!$F$27</definedName>
    <definedName name="Fxsb">'Calculation program'!$F$28</definedName>
    <definedName name="Fxtb">'Calculation program'!$F$26</definedName>
    <definedName name="Iemax">'Calculation program'!$F$51</definedName>
    <definedName name="Incline_angle" localSheetId="0">INFO!#REF!</definedName>
    <definedName name="Incline_angle">'Calculation program'!$F$8</definedName>
    <definedName name="Inertial_force" localSheetId="0">INFO!#REF!</definedName>
    <definedName name="Inertial_force">'Calculation program'!#REF!</definedName>
    <definedName name="Ip">'Calculation program'!$F$80</definedName>
    <definedName name="Ipmax">'Calculation program'!$F$36</definedName>
    <definedName name="KE">'Calculation program'!$F$37</definedName>
    <definedName name="kf">'Calculation program'!$F$38</definedName>
    <definedName name="LM0830_015">'Calculation program'!$I$31:$I$48</definedName>
    <definedName name="Load" localSheetId="0">INFO!#REF!</definedName>
    <definedName name="Load">'Calculation program'!$F$7</definedName>
    <definedName name="ls">[1]Dimensions!$C$75</definedName>
    <definedName name="lt_tot">[1]Dimensions!$C$41</definedName>
    <definedName name="m">'Calculation program'!$F$7</definedName>
    <definedName name="Max_speed" localSheetId="0">INFO!#REF!</definedName>
    <definedName name="Max_speed">'Calculation program'!$F$59</definedName>
    <definedName name="mm">'Calculation program'!$F$45</definedName>
    <definedName name="Motors">'Calculation program'!$I$31:$I$48</definedName>
    <definedName name="Move_distance" localSheetId="0">INFO!#REF!</definedName>
    <definedName name="Move_distance">'Calculation program'!$F$40</definedName>
    <definedName name="_xlnm.Print_Area" localSheetId="1">'Calculation program'!$A$1:$K$86</definedName>
    <definedName name="_xlnm.Print_Area" localSheetId="0">INFO!$A$1:$I$50</definedName>
    <definedName name="Res">'Calculation program'!$F$39</definedName>
    <definedName name="Resistance" localSheetId="0">INFO!#REF!</definedName>
    <definedName name="Resistance">'Calculation program'!#REF!</definedName>
    <definedName name="RMS_force" localSheetId="0">INFO!#REF!</definedName>
    <definedName name="RMS_force">'Calculation program'!$F$78</definedName>
    <definedName name="RRR">'Calculation program'!$F$39</definedName>
    <definedName name="rrrrr">'Calculation program'!$G$3</definedName>
    <definedName name="rrrrrrrr">'Calculation program'!$G$3</definedName>
    <definedName name="sb">'Calculation program'!$F$20</definedName>
    <definedName name="sd">'Calculation program'!$F$20</definedName>
    <definedName name="sf">'Calculation program'!$F$11</definedName>
    <definedName name="Slider_mass">'Calculation program'!$F$45</definedName>
    <definedName name="Stator_temp" localSheetId="0">INFO!#REF!</definedName>
    <definedName name="Stator_temp">'Calculation program'!#REF!</definedName>
    <definedName name="Stator_temp_rise" localSheetId="0">INFO!#REF!</definedName>
    <definedName name="Stator_temp_rise">'Calculation program'!#REF!</definedName>
    <definedName name="Stop_section">'Calculation program'!$F$65</definedName>
    <definedName name="T_c">'Calculation program'!$I$82</definedName>
    <definedName name="t1b">'Calculation program'!$F$21</definedName>
    <definedName name="t2b">'Calculation program'!$F$22</definedName>
    <definedName name="t3b">'Calculation program'!$F$23</definedName>
    <definedName name="t4b">'Calculation program'!$F$24</definedName>
    <definedName name="Ta">'Calculation program'!$F$10</definedName>
    <definedName name="Tc">'Calculation program'!$F$82</definedName>
    <definedName name="Tcoil">'Calculation program'!$F$82</definedName>
    <definedName name="tdb">'Calculation program'!$F$66</definedName>
    <definedName name="tdf">'Calculation program'!$F$56</definedName>
    <definedName name="TOO_HIGH">'Calculation program'!$F$82</definedName>
    <definedName name="Total_cycle_time" localSheetId="0">INFO!#REF!</definedName>
    <definedName name="Total_cycle_time">'Calculation program'!#REF!</definedName>
    <definedName name="Total_move_time" localSheetId="0">INFO!#REF!</definedName>
    <definedName name="Total_move_time">'Calculation program'!#REF!</definedName>
    <definedName name="Traverse_section">'Calculation program'!$F$63</definedName>
    <definedName name="Traverse_time" localSheetId="0">INFO!#REF!</definedName>
    <definedName name="Traverse_time">'Calculation program'!$F$13</definedName>
    <definedName name="Trverse_section" localSheetId="0">INFO!#REF!</definedName>
    <definedName name="ttb">'Calculation program'!$F$67</definedName>
    <definedName name="ttf">'Calculation program'!$F$57</definedName>
    <definedName name="tttt">'Calculation program'!$G$3</definedName>
    <definedName name="tttttt">'Calculation program'!$F$16</definedName>
    <definedName name="Vb">'Calculation program'!$F$69</definedName>
    <definedName name="Vemax">'Calculation program'!$F$42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5" i="2" l="1"/>
  <c r="F53" i="2" s="1"/>
  <c r="F44" i="2"/>
  <c r="F43" i="2"/>
  <c r="F42" i="2"/>
  <c r="F41" i="2"/>
  <c r="F40" i="2"/>
  <c r="F39" i="2"/>
  <c r="F38" i="2"/>
  <c r="F37" i="2"/>
  <c r="F36" i="2"/>
  <c r="F56" i="2"/>
  <c r="F57" i="2" s="1"/>
  <c r="F59" i="2"/>
  <c r="F66" i="2"/>
  <c r="F67" i="2" s="1"/>
  <c r="F69" i="2"/>
  <c r="F70" i="2" s="1"/>
  <c r="F76" i="2"/>
  <c r="B4" i="3"/>
  <c r="B5" i="3"/>
  <c r="J5" i="3"/>
  <c r="J6" i="3"/>
  <c r="E7" i="3"/>
  <c r="E6" i="3" s="1"/>
  <c r="E4" i="3"/>
  <c r="F7" i="3"/>
  <c r="F4" i="3" s="1"/>
  <c r="J7" i="3"/>
  <c r="E8" i="3"/>
  <c r="J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5" i="3"/>
  <c r="H59" i="2" l="1"/>
  <c r="F71" i="2"/>
  <c r="H71" i="2" s="1"/>
  <c r="F5" i="3"/>
  <c r="F50" i="2"/>
  <c r="Q3" i="3" s="1"/>
  <c r="P3" i="3" s="1"/>
  <c r="C9" i="3"/>
  <c r="F68" i="2"/>
  <c r="H69" i="2"/>
  <c r="C8" i="3"/>
  <c r="H70" i="2"/>
  <c r="F61" i="2"/>
  <c r="J30" i="3" s="1"/>
  <c r="F60" i="2"/>
  <c r="G6" i="3" s="1"/>
  <c r="H6" i="3" s="1"/>
  <c r="C4" i="3"/>
  <c r="C5" i="3"/>
  <c r="J19" i="3"/>
  <c r="J17" i="3"/>
  <c r="B7" i="3"/>
  <c r="J18" i="3"/>
  <c r="B8" i="3"/>
  <c r="B11" i="3"/>
  <c r="J15" i="3"/>
  <c r="B10" i="3"/>
  <c r="J12" i="3"/>
  <c r="J13" i="3"/>
  <c r="J11" i="3"/>
  <c r="J16" i="3"/>
  <c r="M4" i="3"/>
  <c r="B9" i="3"/>
  <c r="J14" i="3"/>
  <c r="F8" i="3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F27" i="3" s="1"/>
  <c r="F28" i="3" s="1"/>
  <c r="F29" i="3" s="1"/>
  <c r="F30" i="3" s="1"/>
  <c r="F31" i="3" s="1"/>
  <c r="F32" i="3" s="1"/>
  <c r="F33" i="3" s="1"/>
  <c r="F34" i="3" s="1"/>
  <c r="F35" i="3" s="1"/>
  <c r="F58" i="2"/>
  <c r="B6" i="3"/>
  <c r="J9" i="3"/>
  <c r="J10" i="3"/>
  <c r="F6" i="3"/>
  <c r="F51" i="2"/>
  <c r="F49" i="2" s="1"/>
  <c r="F52" i="2"/>
  <c r="F54" i="2"/>
  <c r="F55" i="2"/>
  <c r="F74" i="2" l="1"/>
  <c r="I74" i="2" s="1"/>
  <c r="H60" i="2"/>
  <c r="Q4" i="3"/>
  <c r="P4" i="3" s="1"/>
  <c r="H61" i="2"/>
  <c r="G5" i="3"/>
  <c r="H5" i="3" s="1"/>
  <c r="F64" i="2"/>
  <c r="K9" i="3" s="1"/>
  <c r="F65" i="2"/>
  <c r="K10" i="3" s="1"/>
  <c r="G4" i="3"/>
  <c r="H4" i="3" s="1"/>
  <c r="G3" i="3"/>
  <c r="H3" i="3" s="1"/>
  <c r="G7" i="3"/>
  <c r="F62" i="2"/>
  <c r="F75" i="2"/>
  <c r="F73" i="2"/>
  <c r="F72" i="2"/>
  <c r="F63" i="2"/>
  <c r="O4" i="3"/>
  <c r="O3" i="3"/>
  <c r="K17" i="3" l="1"/>
  <c r="K16" i="3"/>
  <c r="I64" i="2"/>
  <c r="K8" i="3"/>
  <c r="I65" i="2"/>
  <c r="K11" i="3"/>
  <c r="G8" i="3"/>
  <c r="H7" i="3"/>
  <c r="K6" i="3"/>
  <c r="K7" i="3"/>
  <c r="I63" i="2"/>
  <c r="K15" i="3"/>
  <c r="K14" i="3"/>
  <c r="I73" i="2"/>
  <c r="F80" i="2"/>
  <c r="H80" i="2" s="1"/>
  <c r="I62" i="2"/>
  <c r="K5" i="3"/>
  <c r="K4" i="3"/>
  <c r="F78" i="2"/>
  <c r="K12" i="3"/>
  <c r="K13" i="3"/>
  <c r="I72" i="2"/>
  <c r="K19" i="3"/>
  <c r="K18" i="3"/>
  <c r="I75" i="2"/>
  <c r="G9" i="3" l="1"/>
  <c r="H8" i="3"/>
  <c r="N4" i="3"/>
  <c r="F79" i="2"/>
  <c r="H78" i="2"/>
  <c r="N3" i="3"/>
  <c r="F77" i="2"/>
  <c r="H9" i="3" l="1"/>
  <c r="G10" i="3"/>
  <c r="I82" i="2"/>
  <c r="H79" i="2"/>
  <c r="H10" i="3" l="1"/>
  <c r="G11" i="3"/>
  <c r="F82" i="2"/>
  <c r="H82" i="2" s="1"/>
  <c r="F81" i="2"/>
  <c r="H81" i="2" s="1"/>
  <c r="H11" i="3" l="1"/>
  <c r="G14" i="3"/>
  <c r="H14" i="3" s="1"/>
  <c r="G12" i="3"/>
  <c r="H12" i="3" s="1"/>
  <c r="G15" i="3"/>
  <c r="G13" i="3"/>
  <c r="H13" i="3" s="1"/>
  <c r="G16" i="3" l="1"/>
  <c r="H15" i="3"/>
  <c r="G17" i="3" l="1"/>
  <c r="H16" i="3"/>
  <c r="H17" i="3" l="1"/>
  <c r="G18" i="3"/>
  <c r="H18" i="3" l="1"/>
  <c r="G19" i="3"/>
  <c r="H19" i="3" l="1"/>
  <c r="G22" i="3"/>
  <c r="H22" i="3" s="1"/>
  <c r="G21" i="3"/>
  <c r="H21" i="3" s="1"/>
  <c r="G20" i="3"/>
  <c r="H20" i="3" s="1"/>
  <c r="G23" i="3"/>
  <c r="G24" i="3" l="1"/>
  <c r="H23" i="3"/>
  <c r="G25" i="3" l="1"/>
  <c r="H24" i="3"/>
  <c r="H25" i="3" l="1"/>
  <c r="G26" i="3"/>
  <c r="H26" i="3" l="1"/>
  <c r="G27" i="3"/>
  <c r="H27" i="3" l="1"/>
  <c r="G28" i="3"/>
  <c r="H28" i="3" s="1"/>
  <c r="G30" i="3"/>
  <c r="H30" i="3" s="1"/>
  <c r="G29" i="3"/>
  <c r="H29" i="3" s="1"/>
  <c r="G31" i="3"/>
  <c r="H31" i="3" l="1"/>
  <c r="G32" i="3"/>
  <c r="G33" i="3" l="1"/>
  <c r="H32" i="3"/>
  <c r="H33" i="3" l="1"/>
  <c r="G34" i="3"/>
  <c r="H34" i="3" l="1"/>
  <c r="G35" i="3"/>
  <c r="H3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Baetscher</author>
  </authors>
  <commentList>
    <comment ref="D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 xml:space="preserve">Load mass :
</t>
        </r>
        <r>
          <rPr>
            <sz val="8"/>
            <color indexed="81"/>
            <rFont val="Tahoma"/>
            <family val="2"/>
          </rPr>
          <t>The total mass of the moving part.</t>
        </r>
      </text>
    </comment>
    <comment ref="D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Friction coefficient :
</t>
        </r>
        <r>
          <rPr>
            <sz val="8"/>
            <color indexed="81"/>
            <rFont val="Tahoma"/>
            <family val="2"/>
          </rPr>
          <t>The dynamic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friction coefficient of the linear guidance system.</t>
        </r>
      </text>
    </comment>
    <comment ref="D16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External acceleration force :</t>
        </r>
        <r>
          <rPr>
            <sz val="8"/>
            <color indexed="81"/>
            <rFont val="Tahoma"/>
            <family val="2"/>
          </rPr>
          <t xml:space="preserve">
External force applied during the acceleration section.</t>
        </r>
      </text>
    </comment>
    <comment ref="D1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External traverse force :
</t>
        </r>
        <r>
          <rPr>
            <sz val="8"/>
            <color indexed="81"/>
            <rFont val="Tahoma"/>
            <family val="2"/>
          </rPr>
          <t>External force applied during the traverse section.</t>
        </r>
      </text>
    </comment>
    <comment ref="D1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External deceleration force :
</t>
        </r>
        <r>
          <rPr>
            <sz val="8"/>
            <color indexed="81"/>
            <rFont val="Tahoma"/>
            <family val="2"/>
          </rPr>
          <t>External force applied during the deceleration section.</t>
        </r>
      </text>
    </comment>
    <comment ref="D1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 xml:space="preserve">External stop force :
</t>
        </r>
        <r>
          <rPr>
            <sz val="8"/>
            <color indexed="81"/>
            <rFont val="Tahoma"/>
            <family val="2"/>
          </rPr>
          <t>External force applied during the stop section.</t>
        </r>
      </text>
    </comment>
    <comment ref="D25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External acceleration force :</t>
        </r>
        <r>
          <rPr>
            <sz val="8"/>
            <color indexed="81"/>
            <rFont val="Tahoma"/>
            <family val="2"/>
          </rPr>
          <t xml:space="preserve">
External force applied during the acceleration section.</t>
        </r>
      </text>
    </comment>
    <comment ref="D26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External traverse force :
</t>
        </r>
        <r>
          <rPr>
            <sz val="8"/>
            <color indexed="81"/>
            <rFont val="Tahoma"/>
            <family val="2"/>
          </rPr>
          <t>External force applied during the traverse section.</t>
        </r>
      </text>
    </comment>
    <comment ref="D2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 xml:space="preserve">External deceleration force :
</t>
        </r>
        <r>
          <rPr>
            <sz val="8"/>
            <color indexed="81"/>
            <rFont val="Tahoma"/>
            <family val="2"/>
          </rPr>
          <t>External force applied during the deceleration section.</t>
        </r>
      </text>
    </comment>
    <comment ref="D2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 xml:space="preserve">External stop force :
</t>
        </r>
        <r>
          <rPr>
            <sz val="8"/>
            <color indexed="81"/>
            <rFont val="Tahoma"/>
            <family val="2"/>
          </rPr>
          <t>External force applied during the stop section.</t>
        </r>
      </text>
    </comment>
    <comment ref="D58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 xml:space="preserve">Duty cycle :
</t>
        </r>
        <r>
          <rPr>
            <sz val="8"/>
            <color indexed="81"/>
            <rFont val="Tahoma"/>
            <family val="2"/>
          </rPr>
          <t>The ratio of total move time to total cycle time.</t>
        </r>
      </text>
    </comment>
    <comment ref="D62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Acceleration section :</t>
        </r>
        <r>
          <rPr>
            <sz val="8"/>
            <color indexed="81"/>
            <rFont val="Tahoma"/>
            <family val="2"/>
          </rPr>
          <t xml:space="preserve">
Total force provided by the motor during the acceleration section.</t>
        </r>
      </text>
    </comment>
    <comment ref="D63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 xml:space="preserve">Traverse section :
</t>
        </r>
        <r>
          <rPr>
            <sz val="8"/>
            <color indexed="81"/>
            <rFont val="Tahoma"/>
            <family val="2"/>
          </rPr>
          <t>Total force provided by the motor during the traverse section.</t>
        </r>
      </text>
    </comment>
    <comment ref="D6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 xml:space="preserve">Deceleration section :
</t>
        </r>
        <r>
          <rPr>
            <sz val="8"/>
            <color indexed="81"/>
            <rFont val="Tahoma"/>
            <family val="2"/>
          </rPr>
          <t>Total force provided by the motor during the deceleration section.</t>
        </r>
      </text>
    </comment>
    <comment ref="D65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 xml:space="preserve">Stop section :
</t>
        </r>
        <r>
          <rPr>
            <sz val="8"/>
            <color indexed="81"/>
            <rFont val="Tahoma"/>
            <family val="2"/>
          </rPr>
          <t>Total force provided by the motor during the stop section.</t>
        </r>
      </text>
    </comment>
    <comment ref="D68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Duty cycle :
</t>
        </r>
        <r>
          <rPr>
            <sz val="8"/>
            <color indexed="81"/>
            <rFont val="Tahoma"/>
            <family val="2"/>
          </rPr>
          <t>The ratio of total move time to total cycle time.</t>
        </r>
      </text>
    </comment>
    <comment ref="D72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Acceleration section :</t>
        </r>
        <r>
          <rPr>
            <sz val="8"/>
            <color indexed="81"/>
            <rFont val="Tahoma"/>
            <family val="2"/>
          </rPr>
          <t xml:space="preserve">
Total force provided by the motor during the acceleration section.</t>
        </r>
      </text>
    </comment>
    <comment ref="D73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 xml:space="preserve">Traverse section :
</t>
        </r>
        <r>
          <rPr>
            <sz val="8"/>
            <color indexed="81"/>
            <rFont val="Tahoma"/>
            <family val="2"/>
          </rPr>
          <t>Total force provided by the motor during the traverse section.</t>
        </r>
      </text>
    </comment>
    <comment ref="D74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 xml:space="preserve">Deceleration section :
</t>
        </r>
        <r>
          <rPr>
            <sz val="8"/>
            <color indexed="81"/>
            <rFont val="Tahoma"/>
            <family val="2"/>
          </rPr>
          <t>Total force provided by the motor during the deceleration section.</t>
        </r>
      </text>
    </comment>
    <comment ref="D75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 xml:space="preserve">Stop section :
</t>
        </r>
        <r>
          <rPr>
            <sz val="8"/>
            <color indexed="81"/>
            <rFont val="Tahoma"/>
            <family val="2"/>
          </rPr>
          <t>Total force provided by the motor during the stop section.</t>
        </r>
      </text>
    </comment>
    <comment ref="D78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 xml:space="preserve">Continous force :
</t>
        </r>
        <r>
          <rPr>
            <sz val="8"/>
            <color indexed="81"/>
            <rFont val="Tahoma"/>
            <family val="2"/>
          </rPr>
          <t>The RMS force provided by the motor.</t>
        </r>
      </text>
    </comment>
    <comment ref="D79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 xml:space="preserve">Continuous current :
</t>
        </r>
        <r>
          <rPr>
            <sz val="8"/>
            <color indexed="81"/>
            <rFont val="Tahoma"/>
            <family val="2"/>
          </rPr>
          <t>The RMS current consumption of the motor.</t>
        </r>
      </text>
    </comment>
    <comment ref="D80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Peak current :</t>
        </r>
        <r>
          <rPr>
            <sz val="8"/>
            <color indexed="81"/>
            <rFont val="Tahoma"/>
            <family val="2"/>
          </rPr>
          <t xml:space="preserve">
The maximum current consumption of the motor.</t>
        </r>
      </text>
    </comment>
  </commentList>
</comments>
</file>

<file path=xl/sharedStrings.xml><?xml version="1.0" encoding="utf-8"?>
<sst xmlns="http://schemas.openxmlformats.org/spreadsheetml/2006/main" count="376" uniqueCount="185">
  <si>
    <t>Parameter</t>
  </si>
  <si>
    <t>Units</t>
  </si>
  <si>
    <t>Incline angle</t>
  </si>
  <si>
    <t>[°]</t>
  </si>
  <si>
    <t>[-]</t>
  </si>
  <si>
    <t>[s]</t>
  </si>
  <si>
    <t>[m]</t>
  </si>
  <si>
    <t>[%]</t>
  </si>
  <si>
    <t>[m/s]</t>
  </si>
  <si>
    <t>[N]</t>
  </si>
  <si>
    <t>[A]</t>
  </si>
  <si>
    <t>Total move time</t>
  </si>
  <si>
    <t>Total cycle time</t>
  </si>
  <si>
    <t>Duty cycle</t>
  </si>
  <si>
    <t>v</t>
  </si>
  <si>
    <t>Max speed</t>
  </si>
  <si>
    <t>Acceleration</t>
  </si>
  <si>
    <t>Traverse section</t>
  </si>
  <si>
    <t>Deceleration section</t>
  </si>
  <si>
    <t>t</t>
  </si>
  <si>
    <t>f</t>
  </si>
  <si>
    <t>Results</t>
  </si>
  <si>
    <t>Load mass</t>
  </si>
  <si>
    <r>
      <t>[m/s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]</t>
    </r>
  </si>
  <si>
    <t>Data</t>
  </si>
  <si>
    <t>Output data</t>
  </si>
  <si>
    <t>Point on the parameters to see the</t>
  </si>
  <si>
    <t>Deceleration</t>
  </si>
  <si>
    <t>External stop force</t>
  </si>
  <si>
    <t>External deceleration force</t>
  </si>
  <si>
    <t>External traverse force</t>
  </si>
  <si>
    <t xml:space="preserve">External acceleration force  </t>
  </si>
  <si>
    <t>Stop section</t>
  </si>
  <si>
    <t>Ff</t>
  </si>
  <si>
    <t>m</t>
  </si>
  <si>
    <t>s</t>
  </si>
  <si>
    <t>a</t>
  </si>
  <si>
    <t>Fp</t>
  </si>
  <si>
    <r>
      <t>[N</t>
    </r>
    <r>
      <rPr>
        <sz val="10"/>
        <rFont val="Arial"/>
      </rPr>
      <t>]</t>
    </r>
  </si>
  <si>
    <t>R</t>
  </si>
  <si>
    <t>Rth1</t>
  </si>
  <si>
    <t>Rth2</t>
  </si>
  <si>
    <t>Tc (I)</t>
  </si>
  <si>
    <t>[°C]</t>
  </si>
  <si>
    <t>Friction force</t>
  </si>
  <si>
    <t>Acceleration time</t>
  </si>
  <si>
    <t>Traverse time</t>
  </si>
  <si>
    <t>Deceleration time</t>
  </si>
  <si>
    <t>Stop time</t>
  </si>
  <si>
    <t>Fe</t>
  </si>
  <si>
    <t>Ie</t>
  </si>
  <si>
    <t>[N/A]</t>
  </si>
  <si>
    <t>Force constant</t>
  </si>
  <si>
    <t>Maximal force</t>
  </si>
  <si>
    <t>Temperature coil</t>
  </si>
  <si>
    <t>Thermal resistance 1</t>
  </si>
  <si>
    <t>Thermal resistance 2</t>
  </si>
  <si>
    <t>Stroke distance</t>
  </si>
  <si>
    <t>Terminal resistance, phase-phase</t>
  </si>
  <si>
    <t>Ip</t>
  </si>
  <si>
    <t>Acceleration section (forward)</t>
  </si>
  <si>
    <t>Acceleration section (backward)</t>
  </si>
  <si>
    <t>Insert values !</t>
  </si>
  <si>
    <t>Do not change values !</t>
  </si>
  <si>
    <t>PLEASE, DON'T CHANGE THESE VALUES, USED FOR THE CURVE CALCULATION !</t>
  </si>
  <si>
    <t>Fx</t>
  </si>
  <si>
    <t>Parallel force</t>
  </si>
  <si>
    <t>Linear DC-Servomotor</t>
  </si>
  <si>
    <t>Ta</t>
  </si>
  <si>
    <t>Forward</t>
  </si>
  <si>
    <t>Backward</t>
  </si>
  <si>
    <t>Friction coefficient (Bearing = 0.2mm)</t>
  </si>
  <si>
    <t>Data Sheet</t>
  </si>
  <si>
    <t>Motor</t>
  </si>
  <si>
    <t>Continuous force</t>
  </si>
  <si>
    <t>Fp max</t>
  </si>
  <si>
    <t>Fe max</t>
  </si>
  <si>
    <t>Ie max</t>
  </si>
  <si>
    <t>Continuous current</t>
  </si>
  <si>
    <t>Peak current</t>
  </si>
  <si>
    <t>Ip max</t>
  </si>
  <si>
    <t>Back - EMF constant</t>
  </si>
  <si>
    <t>KE</t>
  </si>
  <si>
    <t>ae max</t>
  </si>
  <si>
    <t>Speed up to</t>
  </si>
  <si>
    <t>Ve max</t>
  </si>
  <si>
    <t>Slider weight</t>
  </si>
  <si>
    <t>mm</t>
  </si>
  <si>
    <t>[g]</t>
  </si>
  <si>
    <t>Distance Forward</t>
  </si>
  <si>
    <t>Distance Backward</t>
  </si>
  <si>
    <t>[mm]</t>
  </si>
  <si>
    <t>acc</t>
  </si>
  <si>
    <t>v cost</t>
  </si>
  <si>
    <t>tot time</t>
  </si>
  <si>
    <t>tot move</t>
  </si>
  <si>
    <t>Temperatura ambiente (Ta =22°C)</t>
  </si>
  <si>
    <t>Fp max-</t>
  </si>
  <si>
    <t>Fp Max+</t>
  </si>
  <si>
    <t>t1_f</t>
  </si>
  <si>
    <t>t2_f</t>
  </si>
  <si>
    <t>t3_f</t>
  </si>
  <si>
    <t>t4_f</t>
  </si>
  <si>
    <t>s_b</t>
  </si>
  <si>
    <t>t1_b</t>
  </si>
  <si>
    <t>s_f</t>
  </si>
  <si>
    <t>t2_b</t>
  </si>
  <si>
    <t>t3_b</t>
  </si>
  <si>
    <t>t4_b</t>
  </si>
  <si>
    <t>td_f</t>
  </si>
  <si>
    <t>tt_f</t>
  </si>
  <si>
    <t>dc_f</t>
  </si>
  <si>
    <t>V_f</t>
  </si>
  <si>
    <t>a_f</t>
  </si>
  <si>
    <t>d_f</t>
  </si>
  <si>
    <t>Ft1_f</t>
  </si>
  <si>
    <t>Ft2_f</t>
  </si>
  <si>
    <t>Ft3_f</t>
  </si>
  <si>
    <t>Ft4_f</t>
  </si>
  <si>
    <t>td_b</t>
  </si>
  <si>
    <t>tt_b</t>
  </si>
  <si>
    <t>dc_b</t>
  </si>
  <si>
    <t>V_b</t>
  </si>
  <si>
    <t>a_b</t>
  </si>
  <si>
    <t>d_b</t>
  </si>
  <si>
    <t>Ft1_b</t>
  </si>
  <si>
    <t>Ft2_b</t>
  </si>
  <si>
    <t>Ft3_b</t>
  </si>
  <si>
    <t>Ft4_b</t>
  </si>
  <si>
    <t>s_r</t>
  </si>
  <si>
    <t>Ff_m</t>
  </si>
  <si>
    <t>Fx_m</t>
  </si>
  <si>
    <t>Fea_f</t>
  </si>
  <si>
    <t>Fet_f</t>
  </si>
  <si>
    <t>Fed_f</t>
  </si>
  <si>
    <t>Fes_f</t>
  </si>
  <si>
    <t>Fea_b</t>
  </si>
  <si>
    <t>Fet_b</t>
  </si>
  <si>
    <t>Fed_b</t>
  </si>
  <si>
    <t>Fes_b</t>
  </si>
  <si>
    <t>Peak force up to</t>
  </si>
  <si>
    <t>Continuous current up to</t>
  </si>
  <si>
    <t>Peak current up to</t>
  </si>
  <si>
    <t xml:space="preserve">Acceleration up to </t>
  </si>
  <si>
    <t>Continuous force up to</t>
  </si>
  <si>
    <t>[V]</t>
  </si>
  <si>
    <t>Um</t>
  </si>
  <si>
    <t>Max voltage supply</t>
  </si>
  <si>
    <t>Max current supply</t>
  </si>
  <si>
    <t>Upp</t>
  </si>
  <si>
    <t>Peak voltage</t>
  </si>
  <si>
    <t>Ipp</t>
  </si>
  <si>
    <t>[v]</t>
  </si>
  <si>
    <t>KF</t>
  </si>
  <si>
    <t>Friction force with rod</t>
  </si>
  <si>
    <t>Parallel force with rod</t>
  </si>
  <si>
    <t>Residual stroke fwd-bwd</t>
  </si>
  <si>
    <t>[V/m/s]</t>
  </si>
  <si>
    <t>[K/W]</t>
  </si>
  <si>
    <t>LM1247-020</t>
  </si>
  <si>
    <t>LM1247-040</t>
  </si>
  <si>
    <t>LM1247-060</t>
  </si>
  <si>
    <t>LM1247-080</t>
  </si>
  <si>
    <t>LM1247-100</t>
  </si>
  <si>
    <t>LM1247-120</t>
  </si>
  <si>
    <t>LM2070-040</t>
  </si>
  <si>
    <t>LM2070-120</t>
  </si>
  <si>
    <t>Choose Motor!</t>
  </si>
  <si>
    <t>LM0830-015</t>
  </si>
  <si>
    <t>LM0830-040</t>
  </si>
  <si>
    <t>[Ohm]</t>
  </si>
  <si>
    <t>LM2070-080</t>
  </si>
  <si>
    <t>LM2070-160</t>
  </si>
  <si>
    <t>LM2070-220</t>
  </si>
  <si>
    <r>
      <t>[</t>
    </r>
    <r>
      <rPr>
        <sz val="10"/>
        <rFont val="Symbol"/>
        <family val="1"/>
      </rPr>
      <t>Ω</t>
    </r>
    <r>
      <rPr>
        <sz val="10"/>
        <rFont val="Arial"/>
        <family val="2"/>
      </rPr>
      <t>]</t>
    </r>
  </si>
  <si>
    <r>
      <t>[m/s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</si>
  <si>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LM1483-020</t>
  </si>
  <si>
    <t>LM1483-040</t>
  </si>
  <si>
    <t>LM1483-060</t>
  </si>
  <si>
    <t>LM1483-080</t>
  </si>
  <si>
    <t>LM-Special</t>
  </si>
  <si>
    <t>Change data here</t>
  </si>
  <si>
    <t>LM Calculation program, Version 4.5</t>
  </si>
  <si>
    <t>% Rth2</t>
  </si>
  <si>
    <r>
      <t>Reduced thermal res. Rth2 (</t>
    </r>
    <r>
      <rPr>
        <i/>
        <sz val="10"/>
        <rFont val="Arial"/>
        <family val="2"/>
      </rPr>
      <t>default 55%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</si>
</sst>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00"/>
    <numFmt numFmtId="165" formatCode="0.0000"/>
    <numFmt numFmtId="166" formatCode="_ * #,##0.000_ ;_ * \-#,##0.000_ ;_ * &quot;-&quot;??_ ;_ @_ "/>
  </numFmts>
  <fonts count="46">
    <font>
      <sz val="10"/>
      <name val="Arial"/>
    </font>
    <font>
      <sz val="10"/>
      <name val="Arial"/>
    </font>
    <font>
      <sz val="10"/>
      <name val="Helv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Zapf Dingbats"/>
    </font>
    <font>
      <sz val="12"/>
      <name val="Zapf Dingbats"/>
    </font>
    <font>
      <b/>
      <sz val="10"/>
      <color indexed="23"/>
      <name val="Arial"/>
      <family val="2"/>
    </font>
    <font>
      <sz val="9"/>
      <color indexed="9"/>
      <name val="Arial"/>
      <family val="2"/>
    </font>
    <font>
      <sz val="12"/>
      <name val="Symbol"/>
      <family val="1"/>
    </font>
    <font>
      <sz val="10"/>
      <name val="Symbol"/>
      <family val="1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23"/>
      <name val="Arial"/>
      <family val="2"/>
    </font>
    <font>
      <sz val="9"/>
      <name val="Arial"/>
      <family val="2"/>
    </font>
    <font>
      <b/>
      <u/>
      <sz val="10"/>
      <color indexed="10"/>
      <name val="Arial"/>
      <family val="2"/>
    </font>
    <font>
      <b/>
      <sz val="10"/>
      <name val="Zapf Dingbats"/>
    </font>
    <font>
      <b/>
      <sz val="10"/>
      <color indexed="19"/>
      <name val="Arial"/>
      <family val="2"/>
    </font>
    <font>
      <b/>
      <sz val="10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 tint="-0.14999847407452621"/>
      <name val="Arial"/>
      <family val="2"/>
    </font>
    <font>
      <sz val="10"/>
      <color theme="3" tint="0.79998168889431442"/>
      <name val="Arial"/>
      <family val="2"/>
    </font>
    <font>
      <sz val="10"/>
      <color rgb="FFFFFF00"/>
      <name val="Arial"/>
      <family val="2"/>
    </font>
    <font>
      <b/>
      <sz val="10"/>
      <color theme="6" tint="-0.249977111117893"/>
      <name val="Arial"/>
      <family val="2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50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ck">
        <color indexed="29"/>
      </left>
      <right/>
      <top style="thick">
        <color indexed="29"/>
      </top>
      <bottom/>
      <diagonal/>
    </border>
    <border>
      <left/>
      <right/>
      <top style="thick">
        <color indexed="29"/>
      </top>
      <bottom/>
      <diagonal/>
    </border>
    <border>
      <left style="thick">
        <color indexed="29"/>
      </left>
      <right/>
      <top/>
      <bottom/>
      <diagonal/>
    </border>
    <border>
      <left/>
      <right style="thick">
        <color indexed="29"/>
      </right>
      <top/>
      <bottom/>
      <diagonal/>
    </border>
    <border>
      <left style="thick">
        <color indexed="29"/>
      </left>
      <right/>
      <top/>
      <bottom style="thick">
        <color indexed="29"/>
      </bottom>
      <diagonal/>
    </border>
    <border>
      <left/>
      <right/>
      <top/>
      <bottom style="thick">
        <color indexed="29"/>
      </bottom>
      <diagonal/>
    </border>
    <border>
      <left/>
      <right style="thick">
        <color indexed="29"/>
      </right>
      <top/>
      <bottom style="thick">
        <color indexed="2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29"/>
      </right>
      <top style="thick">
        <color indexed="29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9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left" vertical="center"/>
    </xf>
    <xf numFmtId="0" fontId="7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19" fillId="3" borderId="8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0" fillId="2" borderId="9" xfId="2" applyFont="1" applyFill="1" applyBorder="1" applyAlignment="1" applyProtection="1">
      <alignment horizontal="left" vertical="center"/>
    </xf>
    <xf numFmtId="0" fontId="10" fillId="2" borderId="10" xfId="2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2" fontId="15" fillId="2" borderId="0" xfId="0" applyNumberFormat="1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4" fontId="15" fillId="2" borderId="0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2" applyFont="1" applyFill="1" applyBorder="1" applyAlignment="1" applyProtection="1">
      <alignment horizontal="left" vertical="center"/>
    </xf>
    <xf numFmtId="0" fontId="15" fillId="2" borderId="9" xfId="2" applyFont="1" applyFill="1" applyBorder="1" applyAlignment="1" applyProtection="1">
      <alignment horizontal="left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2" fontId="15" fillId="2" borderId="6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9" xfId="2" applyFont="1" applyFill="1" applyBorder="1" applyAlignment="1" applyProtection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10" fillId="5" borderId="15" xfId="2" applyFont="1" applyFill="1" applyBorder="1" applyAlignment="1" applyProtection="1">
      <alignment horizontal="left" vertical="center"/>
    </xf>
    <xf numFmtId="0" fontId="15" fillId="5" borderId="9" xfId="0" applyFont="1" applyFill="1" applyBorder="1" applyAlignment="1" applyProtection="1">
      <alignment horizontal="left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/>
    </xf>
    <xf numFmtId="0" fontId="15" fillId="5" borderId="9" xfId="2" applyFont="1" applyFill="1" applyBorder="1" applyAlignment="1" applyProtection="1">
      <alignment horizontal="left" vertical="center"/>
    </xf>
    <xf numFmtId="0" fontId="15" fillId="5" borderId="10" xfId="0" applyFont="1" applyFill="1" applyBorder="1" applyAlignment="1">
      <alignment vertical="center"/>
    </xf>
    <xf numFmtId="0" fontId="15" fillId="5" borderId="13" xfId="0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/>
    </xf>
    <xf numFmtId="0" fontId="10" fillId="2" borderId="16" xfId="2" applyFont="1" applyFill="1" applyBorder="1" applyAlignment="1" applyProtection="1">
      <alignment horizontal="center" vertical="center"/>
    </xf>
    <xf numFmtId="0" fontId="10" fillId="5" borderId="16" xfId="2" applyFont="1" applyFill="1" applyBorder="1" applyAlignment="1" applyProtection="1">
      <alignment horizontal="center" vertical="center"/>
    </xf>
    <xf numFmtId="0" fontId="10" fillId="2" borderId="17" xfId="2" applyFont="1" applyFill="1" applyBorder="1" applyAlignment="1" applyProtection="1">
      <alignment horizontal="center" vertical="center"/>
    </xf>
    <xf numFmtId="0" fontId="15" fillId="5" borderId="17" xfId="0" applyFont="1" applyFill="1" applyBorder="1" applyAlignment="1">
      <alignment horizontal="center" vertical="center"/>
    </xf>
    <xf numFmtId="0" fontId="10" fillId="5" borderId="18" xfId="2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 applyProtection="1">
      <alignment horizontal="center" vertical="center"/>
    </xf>
    <xf numFmtId="0" fontId="15" fillId="2" borderId="20" xfId="0" applyFont="1" applyFill="1" applyBorder="1" applyAlignment="1" applyProtection="1">
      <alignment horizontal="center" vertical="center"/>
    </xf>
    <xf numFmtId="0" fontId="15" fillId="5" borderId="16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 applyProtection="1">
      <alignment horizontal="center" vertical="center"/>
    </xf>
    <xf numFmtId="0" fontId="15" fillId="2" borderId="21" xfId="2" applyFont="1" applyFill="1" applyBorder="1" applyAlignment="1" applyProtection="1">
      <alignment horizontal="center" vertical="center"/>
    </xf>
    <xf numFmtId="0" fontId="15" fillId="5" borderId="16" xfId="2" applyFont="1" applyFill="1" applyBorder="1" applyAlignment="1" applyProtection="1">
      <alignment horizontal="center" vertical="center"/>
    </xf>
    <xf numFmtId="0" fontId="15" fillId="2" borderId="16" xfId="2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vertical="center"/>
    </xf>
    <xf numFmtId="2" fontId="24" fillId="0" borderId="0" xfId="0" applyNumberFormat="1" applyFont="1" applyAlignment="1">
      <alignment horizontal="left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5" xfId="0" applyFill="1" applyBorder="1" applyAlignment="1">
      <alignment vertical="center"/>
    </xf>
    <xf numFmtId="0" fontId="25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0" fontId="10" fillId="0" borderId="9" xfId="2" applyFont="1" applyFill="1" applyBorder="1" applyAlignment="1" applyProtection="1">
      <alignment horizontal="left" vertical="center"/>
    </xf>
    <xf numFmtId="0" fontId="10" fillId="2" borderId="15" xfId="0" applyFont="1" applyFill="1" applyBorder="1" applyAlignment="1">
      <alignment vertical="center"/>
    </xf>
    <xf numFmtId="0" fontId="15" fillId="5" borderId="9" xfId="0" applyFont="1" applyFill="1" applyBorder="1" applyAlignment="1">
      <alignment vertical="center"/>
    </xf>
    <xf numFmtId="0" fontId="15" fillId="5" borderId="8" xfId="0" applyFont="1" applyFill="1" applyBorder="1" applyAlignment="1" applyProtection="1">
      <alignment horizontal="left" vertical="center"/>
    </xf>
    <xf numFmtId="0" fontId="15" fillId="5" borderId="22" xfId="0" applyFont="1" applyFill="1" applyBorder="1" applyAlignment="1" applyProtection="1">
      <alignment horizontal="center" vertical="center"/>
    </xf>
    <xf numFmtId="0" fontId="15" fillId="5" borderId="23" xfId="0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vertical="center"/>
    </xf>
    <xf numFmtId="0" fontId="15" fillId="5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vertical="center"/>
    </xf>
    <xf numFmtId="0" fontId="15" fillId="0" borderId="10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5" fillId="2" borderId="8" xfId="0" applyFont="1" applyFill="1" applyBorder="1" applyAlignment="1" applyProtection="1">
      <alignment horizontal="left" vertical="center"/>
    </xf>
    <xf numFmtId="0" fontId="15" fillId="2" borderId="28" xfId="0" applyFont="1" applyFill="1" applyBorder="1" applyAlignment="1" applyProtection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>
      <alignment horizontal="center" vertical="center" textRotation="90"/>
    </xf>
    <xf numFmtId="0" fontId="15" fillId="5" borderId="15" xfId="0" applyFont="1" applyFill="1" applyBorder="1" applyAlignment="1">
      <alignment vertical="center"/>
    </xf>
    <xf numFmtId="0" fontId="15" fillId="5" borderId="18" xfId="0" applyFont="1" applyFill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28" fillId="2" borderId="0" xfId="0" applyFont="1" applyFill="1" applyBorder="1" applyAlignment="1">
      <alignment horizontal="left" vertical="center"/>
    </xf>
    <xf numFmtId="2" fontId="29" fillId="0" borderId="29" xfId="1" applyNumberFormat="1" applyFont="1" applyFill="1" applyBorder="1" applyAlignment="1" applyProtection="1">
      <alignment horizontal="right" vertical="center"/>
    </xf>
    <xf numFmtId="2" fontId="29" fillId="0" borderId="0" xfId="1" applyNumberFormat="1" applyFont="1" applyFill="1" applyBorder="1" applyAlignment="1">
      <alignment vertical="center"/>
    </xf>
    <xf numFmtId="2" fontId="29" fillId="0" borderId="0" xfId="1" applyNumberFormat="1" applyFont="1" applyFill="1" applyBorder="1" applyAlignment="1">
      <alignment horizontal="right" vertical="center"/>
    </xf>
    <xf numFmtId="2" fontId="29" fillId="0" borderId="29" xfId="1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5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5" borderId="3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 applyProtection="1">
      <alignment horizontal="left" vertical="center"/>
    </xf>
    <xf numFmtId="2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2" fontId="15" fillId="2" borderId="20" xfId="1" applyNumberFormat="1" applyFont="1" applyFill="1" applyBorder="1" applyAlignment="1" applyProtection="1">
      <alignment horizontal="right" vertical="center"/>
    </xf>
    <xf numFmtId="2" fontId="15" fillId="2" borderId="0" xfId="1" applyNumberFormat="1" applyFont="1" applyFill="1" applyBorder="1" applyAlignment="1" applyProtection="1">
      <alignment horizontal="right" vertical="center"/>
    </xf>
    <xf numFmtId="2" fontId="15" fillId="2" borderId="34" xfId="1" applyNumberFormat="1" applyFont="1" applyFill="1" applyBorder="1" applyAlignment="1" applyProtection="1">
      <alignment horizontal="right" vertical="center"/>
    </xf>
    <xf numFmtId="0" fontId="15" fillId="5" borderId="9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center" vertical="center"/>
    </xf>
    <xf numFmtId="2" fontId="15" fillId="5" borderId="0" xfId="1" applyNumberFormat="1" applyFont="1" applyFill="1" applyBorder="1" applyAlignment="1" applyProtection="1">
      <alignment horizontal="right" vertical="center"/>
    </xf>
    <xf numFmtId="2" fontId="15" fillId="5" borderId="35" xfId="1" applyNumberFormat="1" applyFont="1" applyFill="1" applyBorder="1" applyAlignment="1">
      <alignment vertical="center"/>
    </xf>
    <xf numFmtId="2" fontId="15" fillId="5" borderId="36" xfId="1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left" vertical="center"/>
    </xf>
    <xf numFmtId="0" fontId="13" fillId="7" borderId="37" xfId="0" applyFont="1" applyFill="1" applyBorder="1" applyAlignment="1">
      <alignment horizontal="center" vertical="center"/>
    </xf>
    <xf numFmtId="2" fontId="13" fillId="7" borderId="37" xfId="0" applyNumberFormat="1" applyFont="1" applyFill="1" applyBorder="1" applyAlignment="1">
      <alignment horizontal="center" vertical="center"/>
    </xf>
    <xf numFmtId="0" fontId="13" fillId="7" borderId="38" xfId="0" applyFont="1" applyFill="1" applyBorder="1" applyAlignment="1">
      <alignment horizontal="center" vertical="center"/>
    </xf>
    <xf numFmtId="166" fontId="0" fillId="0" borderId="0" xfId="1" applyNumberFormat="1" applyFont="1" applyAlignment="1">
      <alignment horizontal="center"/>
    </xf>
    <xf numFmtId="166" fontId="0" fillId="6" borderId="0" xfId="1" applyNumberFormat="1" applyFont="1" applyFill="1" applyAlignment="1">
      <alignment horizontal="center"/>
    </xf>
    <xf numFmtId="0" fontId="0" fillId="6" borderId="0" xfId="0" applyFill="1"/>
    <xf numFmtId="164" fontId="0" fillId="6" borderId="0" xfId="0" applyNumberFormat="1" applyFill="1" applyAlignment="1">
      <alignment horizontal="center"/>
    </xf>
    <xf numFmtId="166" fontId="0" fillId="0" borderId="0" xfId="1" applyNumberFormat="1" applyFont="1"/>
    <xf numFmtId="166" fontId="0" fillId="6" borderId="0" xfId="1" applyNumberFormat="1" applyFont="1" applyFill="1"/>
    <xf numFmtId="166" fontId="22" fillId="0" borderId="0" xfId="1" applyNumberFormat="1" applyFont="1"/>
    <xf numFmtId="166" fontId="0" fillId="0" borderId="0" xfId="1" applyNumberFormat="1" applyFont="1" applyFill="1" applyAlignment="1">
      <alignment horizontal="center"/>
    </xf>
    <xf numFmtId="166" fontId="22" fillId="0" borderId="0" xfId="1" applyNumberFormat="1" applyFont="1" applyAlignment="1">
      <alignment horizontal="center"/>
    </xf>
    <xf numFmtId="166" fontId="0" fillId="0" borderId="29" xfId="1" applyNumberFormat="1" applyFont="1" applyBorder="1"/>
    <xf numFmtId="166" fontId="0" fillId="6" borderId="29" xfId="1" applyNumberFormat="1" applyFont="1" applyFill="1" applyBorder="1"/>
    <xf numFmtId="0" fontId="6" fillId="0" borderId="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90"/>
    </xf>
    <xf numFmtId="0" fontId="10" fillId="2" borderId="8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5" borderId="15" xfId="0" applyFont="1" applyFill="1" applyBorder="1" applyAlignment="1" applyProtection="1">
      <alignment horizontal="left" vertical="center"/>
    </xf>
    <xf numFmtId="0" fontId="15" fillId="5" borderId="18" xfId="0" applyFont="1" applyFill="1" applyBorder="1" applyAlignment="1" applyProtection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5" borderId="41" xfId="0" applyFont="1" applyFill="1" applyBorder="1" applyAlignment="1">
      <alignment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2" fontId="30" fillId="5" borderId="44" xfId="1" applyNumberFormat="1" applyFont="1" applyFill="1" applyBorder="1" applyAlignment="1" applyProtection="1">
      <alignment horizontal="right" vertical="center"/>
    </xf>
    <xf numFmtId="2" fontId="30" fillId="0" borderId="29" xfId="1" applyNumberFormat="1" applyFont="1" applyFill="1" applyBorder="1" applyAlignment="1" applyProtection="1">
      <alignment horizontal="right" vertical="center"/>
    </xf>
    <xf numFmtId="0" fontId="15" fillId="5" borderId="25" xfId="0" applyFont="1" applyFill="1" applyBorder="1" applyAlignment="1" applyProtection="1">
      <alignment horizontal="left" vertical="center"/>
    </xf>
    <xf numFmtId="0" fontId="15" fillId="5" borderId="45" xfId="0" applyFont="1" applyFill="1" applyBorder="1" applyAlignment="1" applyProtection="1">
      <alignment horizontal="center" vertical="center"/>
    </xf>
    <xf numFmtId="2" fontId="30" fillId="5" borderId="46" xfId="1" applyNumberFormat="1" applyFont="1" applyFill="1" applyBorder="1" applyAlignment="1" applyProtection="1">
      <alignment horizontal="right" vertical="center"/>
    </xf>
    <xf numFmtId="0" fontId="15" fillId="5" borderId="47" xfId="0" applyFont="1" applyFill="1" applyBorder="1" applyAlignment="1">
      <alignment horizontal="center" vertical="center"/>
    </xf>
    <xf numFmtId="10" fontId="15" fillId="2" borderId="0" xfId="0" applyNumberFormat="1" applyFont="1" applyFill="1" applyBorder="1" applyAlignment="1">
      <alignment vertical="center"/>
    </xf>
    <xf numFmtId="9" fontId="15" fillId="2" borderId="0" xfId="0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165" fontId="10" fillId="5" borderId="0" xfId="1" applyNumberFormat="1" applyFont="1" applyFill="1" applyBorder="1" applyAlignment="1">
      <alignment vertical="center"/>
    </xf>
    <xf numFmtId="165" fontId="15" fillId="2" borderId="34" xfId="1" applyNumberFormat="1" applyFont="1" applyFill="1" applyBorder="1" applyAlignment="1" applyProtection="1">
      <alignment horizontal="right" vertical="center"/>
    </xf>
    <xf numFmtId="165" fontId="15" fillId="5" borderId="0" xfId="1" applyNumberFormat="1" applyFont="1" applyFill="1" applyBorder="1" applyAlignment="1" applyProtection="1">
      <alignment horizontal="right" vertical="center"/>
    </xf>
    <xf numFmtId="165" fontId="15" fillId="2" borderId="0" xfId="1" applyNumberFormat="1" applyFont="1" applyFill="1" applyBorder="1" applyAlignment="1" applyProtection="1">
      <alignment horizontal="right" vertical="center"/>
    </xf>
    <xf numFmtId="165" fontId="15" fillId="5" borderId="29" xfId="1" applyNumberFormat="1" applyFont="1" applyFill="1" applyBorder="1" applyAlignment="1">
      <alignment vertical="center"/>
    </xf>
    <xf numFmtId="0" fontId="19" fillId="8" borderId="44" xfId="0" applyFont="1" applyFill="1" applyBorder="1" applyAlignment="1">
      <alignment horizontal="center" vertical="center"/>
    </xf>
    <xf numFmtId="0" fontId="19" fillId="8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 applyProtection="1">
      <alignment horizontal="center" vertical="center"/>
      <protection locked="0"/>
    </xf>
    <xf numFmtId="0" fontId="30" fillId="2" borderId="50" xfId="0" applyFont="1" applyFill="1" applyBorder="1" applyAlignment="1" applyProtection="1">
      <alignment horizontal="center" vertical="center"/>
      <protection locked="0"/>
    </xf>
    <xf numFmtId="2" fontId="13" fillId="7" borderId="50" xfId="0" applyNumberFormat="1" applyFont="1" applyFill="1" applyBorder="1" applyAlignment="1">
      <alignment horizontal="center" vertical="center"/>
    </xf>
    <xf numFmtId="2" fontId="29" fillId="0" borderId="51" xfId="1" applyNumberFormat="1" applyFont="1" applyFill="1" applyBorder="1" applyAlignment="1" applyProtection="1">
      <alignment horizontal="right" vertical="center"/>
    </xf>
    <xf numFmtId="2" fontId="29" fillId="0" borderId="52" xfId="1" applyNumberFormat="1" applyFont="1" applyFill="1" applyBorder="1" applyAlignment="1">
      <alignment vertical="center"/>
    </xf>
    <xf numFmtId="2" fontId="29" fillId="0" borderId="52" xfId="1" applyNumberFormat="1" applyFont="1" applyFill="1" applyBorder="1" applyAlignment="1">
      <alignment horizontal="right" vertical="center"/>
    </xf>
    <xf numFmtId="2" fontId="29" fillId="0" borderId="51" xfId="1" applyNumberFormat="1" applyFont="1" applyFill="1" applyBorder="1" applyAlignment="1">
      <alignment vertical="center"/>
    </xf>
    <xf numFmtId="2" fontId="13" fillId="7" borderId="49" xfId="0" applyNumberFormat="1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1" fillId="5" borderId="54" xfId="0" applyFont="1" applyFill="1" applyBorder="1" applyAlignment="1">
      <alignment horizontal="center" vertical="center"/>
    </xf>
    <xf numFmtId="0" fontId="10" fillId="0" borderId="19" xfId="2" applyFont="1" applyFill="1" applyBorder="1" applyAlignment="1" applyProtection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5" fillId="5" borderId="33" xfId="0" applyFont="1" applyFill="1" applyBorder="1" applyAlignment="1">
      <alignment horizontal="center" vertical="center"/>
    </xf>
    <xf numFmtId="0" fontId="10" fillId="5" borderId="55" xfId="2" applyFont="1" applyFill="1" applyBorder="1" applyAlignment="1" applyProtection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vertical="center"/>
    </xf>
    <xf numFmtId="0" fontId="15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11" fillId="5" borderId="58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0" fillId="5" borderId="59" xfId="0" applyFont="1" applyFill="1" applyBorder="1" applyAlignment="1">
      <alignment horizontal="center" vertical="center"/>
    </xf>
    <xf numFmtId="0" fontId="32" fillId="8" borderId="44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/>
    </xf>
    <xf numFmtId="2" fontId="30" fillId="0" borderId="51" xfId="1" applyNumberFormat="1" applyFont="1" applyFill="1" applyBorder="1" applyAlignment="1" applyProtection="1">
      <alignment horizontal="right" vertical="center"/>
    </xf>
    <xf numFmtId="0" fontId="30" fillId="5" borderId="52" xfId="0" applyFont="1" applyFill="1" applyBorder="1" applyAlignment="1">
      <alignment vertical="center"/>
    </xf>
    <xf numFmtId="2" fontId="30" fillId="0" borderId="52" xfId="1" applyNumberFormat="1" applyFont="1" applyFill="1" applyBorder="1" applyAlignment="1">
      <alignment vertical="center"/>
    </xf>
    <xf numFmtId="2" fontId="30" fillId="5" borderId="60" xfId="1" applyNumberFormat="1" applyFont="1" applyFill="1" applyBorder="1" applyAlignment="1">
      <alignment vertical="center"/>
    </xf>
    <xf numFmtId="2" fontId="30" fillId="0" borderId="52" xfId="1" applyNumberFormat="1" applyFont="1" applyFill="1" applyBorder="1" applyAlignment="1">
      <alignment horizontal="right" vertical="center"/>
    </xf>
    <xf numFmtId="2" fontId="30" fillId="5" borderId="52" xfId="1" applyNumberFormat="1" applyFont="1" applyFill="1" applyBorder="1" applyAlignment="1">
      <alignment vertical="center"/>
    </xf>
    <xf numFmtId="2" fontId="30" fillId="5" borderId="61" xfId="1" applyNumberFormat="1" applyFont="1" applyFill="1" applyBorder="1" applyAlignment="1">
      <alignment vertical="center"/>
    </xf>
    <xf numFmtId="2" fontId="30" fillId="0" borderId="51" xfId="1" applyNumberFormat="1" applyFont="1" applyFill="1" applyBorder="1" applyAlignment="1">
      <alignment vertical="center"/>
    </xf>
    <xf numFmtId="2" fontId="30" fillId="5" borderId="62" xfId="1" applyNumberFormat="1" applyFont="1" applyFill="1" applyBorder="1" applyAlignment="1">
      <alignment horizontal="right" vertical="center"/>
    </xf>
    <xf numFmtId="2" fontId="30" fillId="0" borderId="16" xfId="1" applyNumberFormat="1" applyFont="1" applyFill="1" applyBorder="1" applyAlignment="1" applyProtection="1">
      <alignment horizontal="right" vertical="center"/>
    </xf>
    <xf numFmtId="2" fontId="30" fillId="5" borderId="16" xfId="1" applyNumberFormat="1" applyFont="1" applyFill="1" applyBorder="1" applyAlignment="1" applyProtection="1">
      <alignment horizontal="right" vertical="center"/>
    </xf>
    <xf numFmtId="2" fontId="30" fillId="5" borderId="18" xfId="1" applyNumberFormat="1" applyFont="1" applyFill="1" applyBorder="1" applyAlignment="1" applyProtection="1">
      <alignment horizontal="right" vertical="center"/>
    </xf>
    <xf numFmtId="2" fontId="31" fillId="5" borderId="21" xfId="1" applyNumberFormat="1" applyFont="1" applyFill="1" applyBorder="1" applyAlignment="1" applyProtection="1">
      <alignment horizontal="right" vertical="center"/>
    </xf>
    <xf numFmtId="2" fontId="35" fillId="0" borderId="45" xfId="1" applyNumberFormat="1" applyFont="1" applyFill="1" applyBorder="1" applyAlignment="1" applyProtection="1">
      <alignment horizontal="right" vertical="center"/>
    </xf>
    <xf numFmtId="164" fontId="15" fillId="2" borderId="28" xfId="1" applyNumberFormat="1" applyFont="1" applyFill="1" applyBorder="1" applyAlignment="1" applyProtection="1">
      <alignment horizontal="right" vertical="center"/>
    </xf>
    <xf numFmtId="164" fontId="15" fillId="5" borderId="19" xfId="1" applyNumberFormat="1" applyFont="1" applyFill="1" applyBorder="1" applyAlignment="1" applyProtection="1">
      <alignment horizontal="right" vertical="center"/>
    </xf>
    <xf numFmtId="2" fontId="30" fillId="5" borderId="0" xfId="1" applyNumberFormat="1" applyFont="1" applyFill="1" applyBorder="1" applyAlignment="1" applyProtection="1">
      <alignment horizontal="left" vertical="center"/>
    </xf>
    <xf numFmtId="2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 applyProtection="1">
      <alignment vertical="center"/>
      <protection hidden="1"/>
    </xf>
    <xf numFmtId="0" fontId="39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vertical="center"/>
    </xf>
    <xf numFmtId="0" fontId="37" fillId="5" borderId="63" xfId="0" quotePrefix="1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vertical="center"/>
    </xf>
    <xf numFmtId="0" fontId="7" fillId="5" borderId="45" xfId="0" applyFont="1" applyFill="1" applyBorder="1" applyAlignment="1">
      <alignment horizontal="center" vertical="center"/>
    </xf>
    <xf numFmtId="0" fontId="7" fillId="0" borderId="9" xfId="2" applyFont="1" applyFill="1" applyBorder="1" applyAlignment="1" applyProtection="1">
      <alignment horizontal="left" vertical="center"/>
    </xf>
    <xf numFmtId="0" fontId="7" fillId="0" borderId="16" xfId="2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5" borderId="13" xfId="0" applyFont="1" applyFill="1" applyBorder="1" applyAlignment="1">
      <alignment horizontal="left" vertical="center"/>
    </xf>
    <xf numFmtId="0" fontId="7" fillId="5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5" borderId="15" xfId="2" applyFont="1" applyFill="1" applyBorder="1" applyAlignment="1" applyProtection="1">
      <alignment horizontal="left" vertical="center"/>
    </xf>
    <xf numFmtId="0" fontId="7" fillId="5" borderId="18" xfId="2" applyFont="1" applyFill="1" applyBorder="1" applyAlignment="1" applyProtection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5" borderId="5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0" fontId="7" fillId="5" borderId="33" xfId="0" applyFont="1" applyFill="1" applyBorder="1" applyAlignment="1">
      <alignment horizontal="center" vertical="center"/>
    </xf>
    <xf numFmtId="0" fontId="7" fillId="5" borderId="55" xfId="0" applyFont="1" applyFill="1" applyBorder="1" applyAlignment="1">
      <alignment horizontal="center" vertical="center"/>
    </xf>
    <xf numFmtId="0" fontId="7" fillId="0" borderId="30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0" fillId="0" borderId="0" xfId="0" applyFill="1"/>
    <xf numFmtId="0" fontId="41" fillId="0" borderId="0" xfId="0" applyFont="1" applyFill="1"/>
    <xf numFmtId="0" fontId="30" fillId="0" borderId="65" xfId="0" applyFont="1" applyBorder="1" applyAlignment="1">
      <alignment horizontal="center"/>
    </xf>
    <xf numFmtId="2" fontId="29" fillId="0" borderId="10" xfId="1" applyNumberFormat="1" applyFont="1" applyFill="1" applyBorder="1" applyAlignment="1" applyProtection="1">
      <alignment horizontal="right" vertical="center"/>
    </xf>
    <xf numFmtId="2" fontId="29" fillId="0" borderId="9" xfId="1" applyNumberFormat="1" applyFont="1" applyFill="1" applyBorder="1" applyAlignment="1">
      <alignment vertical="center"/>
    </xf>
    <xf numFmtId="2" fontId="29" fillId="0" borderId="9" xfId="1" applyNumberFormat="1" applyFont="1" applyFill="1" applyBorder="1" applyAlignment="1">
      <alignment horizontal="right" vertical="center"/>
    </xf>
    <xf numFmtId="2" fontId="29" fillId="0" borderId="10" xfId="1" applyNumberFormat="1" applyFont="1" applyFill="1" applyBorder="1" applyAlignment="1">
      <alignment vertical="center"/>
    </xf>
    <xf numFmtId="2" fontId="13" fillId="7" borderId="38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vertical="center"/>
    </xf>
    <xf numFmtId="0" fontId="7" fillId="10" borderId="16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vertical="center"/>
    </xf>
    <xf numFmtId="0" fontId="29" fillId="10" borderId="52" xfId="0" applyFont="1" applyFill="1" applyBorder="1" applyAlignment="1">
      <alignment vertical="center"/>
    </xf>
    <xf numFmtId="0" fontId="29" fillId="10" borderId="0" xfId="0" applyFont="1" applyFill="1" applyBorder="1" applyAlignment="1">
      <alignment vertical="center"/>
    </xf>
    <xf numFmtId="0" fontId="29" fillId="10" borderId="9" xfId="0" applyFont="1" applyFill="1" applyBorder="1" applyAlignment="1">
      <alignment vertical="center"/>
    </xf>
    <xf numFmtId="0" fontId="7" fillId="10" borderId="25" xfId="0" applyFont="1" applyFill="1" applyBorder="1" applyAlignment="1">
      <alignment vertical="center"/>
    </xf>
    <xf numFmtId="0" fontId="7" fillId="10" borderId="45" xfId="0" applyFont="1" applyFill="1" applyBorder="1" applyAlignment="1">
      <alignment horizontal="center" vertical="center"/>
    </xf>
    <xf numFmtId="0" fontId="7" fillId="10" borderId="47" xfId="0" applyFont="1" applyFill="1" applyBorder="1" applyAlignment="1">
      <alignment horizontal="center" vertical="center"/>
    </xf>
    <xf numFmtId="2" fontId="29" fillId="10" borderId="60" xfId="1" applyNumberFormat="1" applyFont="1" applyFill="1" applyBorder="1" applyAlignment="1">
      <alignment vertical="center"/>
    </xf>
    <xf numFmtId="2" fontId="29" fillId="10" borderId="46" xfId="1" applyNumberFormat="1" applyFont="1" applyFill="1" applyBorder="1" applyAlignment="1">
      <alignment vertical="center"/>
    </xf>
    <xf numFmtId="2" fontId="29" fillId="10" borderId="25" xfId="1" applyNumberFormat="1" applyFont="1" applyFill="1" applyBorder="1" applyAlignment="1">
      <alignment vertical="center"/>
    </xf>
    <xf numFmtId="0" fontId="7" fillId="10" borderId="14" xfId="0" applyFont="1" applyFill="1" applyBorder="1" applyAlignment="1">
      <alignment horizontal="center" vertical="center"/>
    </xf>
    <xf numFmtId="2" fontId="29" fillId="10" borderId="52" xfId="1" applyNumberFormat="1" applyFont="1" applyFill="1" applyBorder="1" applyAlignment="1">
      <alignment vertical="center"/>
    </xf>
    <xf numFmtId="2" fontId="29" fillId="10" borderId="0" xfId="1" applyNumberFormat="1" applyFont="1" applyFill="1" applyBorder="1" applyAlignment="1">
      <alignment vertical="center"/>
    </xf>
    <xf numFmtId="2" fontId="29" fillId="10" borderId="9" xfId="1" applyNumberFormat="1" applyFont="1" applyFill="1" applyBorder="1" applyAlignment="1">
      <alignment vertical="center"/>
    </xf>
    <xf numFmtId="0" fontId="7" fillId="10" borderId="13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center" vertical="center"/>
    </xf>
    <xf numFmtId="2" fontId="29" fillId="10" borderId="61" xfId="1" applyNumberFormat="1" applyFont="1" applyFill="1" applyBorder="1" applyAlignment="1">
      <alignment vertical="center"/>
    </xf>
    <xf numFmtId="2" fontId="29" fillId="10" borderId="34" xfId="1" applyNumberFormat="1" applyFont="1" applyFill="1" applyBorder="1" applyAlignment="1">
      <alignment vertical="center"/>
    </xf>
    <xf numFmtId="2" fontId="29" fillId="10" borderId="13" xfId="1" applyNumberFormat="1" applyFont="1" applyFill="1" applyBorder="1" applyAlignment="1">
      <alignment vertical="center"/>
    </xf>
    <xf numFmtId="0" fontId="7" fillId="10" borderId="15" xfId="2" applyFont="1" applyFill="1" applyBorder="1" applyAlignment="1" applyProtection="1">
      <alignment horizontal="left" vertical="center"/>
    </xf>
    <xf numFmtId="0" fontId="7" fillId="10" borderId="18" xfId="2" applyFont="1" applyFill="1" applyBorder="1" applyAlignment="1" applyProtection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2" fontId="29" fillId="10" borderId="62" xfId="1" applyNumberFormat="1" applyFont="1" applyFill="1" applyBorder="1" applyAlignment="1">
      <alignment horizontal="right" vertical="center"/>
    </xf>
    <xf numFmtId="2" fontId="29" fillId="10" borderId="35" xfId="1" applyNumberFormat="1" applyFont="1" applyFill="1" applyBorder="1" applyAlignment="1">
      <alignment horizontal="right" vertical="center"/>
    </xf>
    <xf numFmtId="2" fontId="29" fillId="10" borderId="15" xfId="1" applyNumberFormat="1" applyFont="1" applyFill="1" applyBorder="1" applyAlignment="1">
      <alignment horizontal="right" vertical="center"/>
    </xf>
    <xf numFmtId="0" fontId="42" fillId="0" borderId="65" xfId="0" applyFont="1" applyBorder="1"/>
    <xf numFmtId="0" fontId="42" fillId="10" borderId="61" xfId="0" applyFont="1" applyFill="1" applyBorder="1"/>
    <xf numFmtId="0" fontId="42" fillId="0" borderId="52" xfId="0" applyFont="1" applyBorder="1"/>
    <xf numFmtId="0" fontId="42" fillId="0" borderId="61" xfId="0" applyFont="1" applyBorder="1"/>
    <xf numFmtId="0" fontId="42" fillId="10" borderId="52" xfId="0" applyFont="1" applyFill="1" applyBorder="1"/>
    <xf numFmtId="0" fontId="42" fillId="10" borderId="66" xfId="0" applyFont="1" applyFill="1" applyBorder="1"/>
    <xf numFmtId="0" fontId="43" fillId="0" borderId="0" xfId="0" applyFont="1" applyFill="1"/>
    <xf numFmtId="0" fontId="44" fillId="0" borderId="65" xfId="0" applyFont="1" applyBorder="1" applyAlignment="1">
      <alignment horizontal="center"/>
    </xf>
    <xf numFmtId="2" fontId="45" fillId="7" borderId="50" xfId="0" applyNumberFormat="1" applyFont="1" applyFill="1" applyBorder="1" applyAlignment="1">
      <alignment horizontal="center" vertical="center"/>
    </xf>
    <xf numFmtId="2" fontId="43" fillId="0" borderId="51" xfId="1" applyNumberFormat="1" applyFont="1" applyFill="1" applyBorder="1" applyAlignment="1" applyProtection="1">
      <alignment horizontal="right" vertical="center"/>
      <protection locked="0"/>
    </xf>
    <xf numFmtId="0" fontId="43" fillId="10" borderId="52" xfId="0" applyFont="1" applyFill="1" applyBorder="1" applyAlignment="1" applyProtection="1">
      <alignment vertical="center"/>
      <protection locked="0"/>
    </xf>
    <xf numFmtId="2" fontId="43" fillId="0" borderId="52" xfId="1" applyNumberFormat="1" applyFont="1" applyFill="1" applyBorder="1" applyAlignment="1" applyProtection="1">
      <alignment vertical="center"/>
      <protection locked="0"/>
    </xf>
    <xf numFmtId="2" fontId="43" fillId="10" borderId="60" xfId="1" applyNumberFormat="1" applyFont="1" applyFill="1" applyBorder="1" applyAlignment="1" applyProtection="1">
      <alignment vertical="center"/>
      <protection locked="0"/>
    </xf>
    <xf numFmtId="2" fontId="43" fillId="0" borderId="52" xfId="1" applyNumberFormat="1" applyFont="1" applyFill="1" applyBorder="1" applyAlignment="1" applyProtection="1">
      <alignment horizontal="right" vertical="center"/>
      <protection locked="0"/>
    </xf>
    <xf numFmtId="2" fontId="43" fillId="10" borderId="52" xfId="1" applyNumberFormat="1" applyFont="1" applyFill="1" applyBorder="1" applyAlignment="1" applyProtection="1">
      <alignment vertical="center"/>
      <protection locked="0"/>
    </xf>
    <xf numFmtId="2" fontId="43" fillId="10" borderId="61" xfId="1" applyNumberFormat="1" applyFont="1" applyFill="1" applyBorder="1" applyAlignment="1" applyProtection="1">
      <alignment vertical="center"/>
      <protection locked="0"/>
    </xf>
    <xf numFmtId="2" fontId="43" fillId="0" borderId="51" xfId="1" applyNumberFormat="1" applyFont="1" applyFill="1" applyBorder="1" applyAlignment="1" applyProtection="1">
      <alignment vertical="center"/>
      <protection locked="0"/>
    </xf>
    <xf numFmtId="2" fontId="43" fillId="10" borderId="62" xfId="1" applyNumberFormat="1" applyFont="1" applyFill="1" applyBorder="1" applyAlignment="1" applyProtection="1">
      <alignment horizontal="right" vertical="center"/>
      <protection locked="0"/>
    </xf>
    <xf numFmtId="1" fontId="31" fillId="2" borderId="0" xfId="1" applyNumberFormat="1" applyFont="1" applyFill="1" applyBorder="1" applyAlignment="1" applyProtection="1">
      <alignment horizontal="right" vertical="center"/>
      <protection locked="0"/>
    </xf>
    <xf numFmtId="2" fontId="31" fillId="5" borderId="0" xfId="1" applyNumberFormat="1" applyFont="1" applyFill="1" applyBorder="1" applyAlignment="1" applyProtection="1">
      <alignment horizontal="right" vertical="center"/>
      <protection locked="0"/>
    </xf>
    <xf numFmtId="2" fontId="31" fillId="2" borderId="0" xfId="1" applyNumberFormat="1" applyFont="1" applyFill="1" applyBorder="1" applyAlignment="1" applyProtection="1">
      <alignment horizontal="right" vertical="center"/>
      <protection locked="0"/>
    </xf>
    <xf numFmtId="2" fontId="31" fillId="5" borderId="35" xfId="1" applyNumberFormat="1" applyFont="1" applyFill="1" applyBorder="1" applyAlignment="1" applyProtection="1">
      <alignment horizontal="right" vertical="center"/>
      <protection locked="0"/>
    </xf>
    <xf numFmtId="2" fontId="31" fillId="0" borderId="0" xfId="1" applyNumberFormat="1" applyFont="1" applyFill="1" applyBorder="1" applyAlignment="1" applyProtection="1">
      <alignment horizontal="right" vertical="center"/>
      <protection locked="0"/>
    </xf>
    <xf numFmtId="164" fontId="31" fillId="5" borderId="0" xfId="1" applyNumberFormat="1" applyFont="1" applyFill="1" applyBorder="1" applyAlignment="1" applyProtection="1">
      <alignment horizontal="right" vertical="center"/>
      <protection locked="0"/>
    </xf>
    <xf numFmtId="164" fontId="31" fillId="2" borderId="0" xfId="1" applyNumberFormat="1" applyFont="1" applyFill="1" applyBorder="1" applyAlignment="1" applyProtection="1">
      <alignment horizontal="right" vertical="center"/>
      <protection locked="0"/>
    </xf>
    <xf numFmtId="164" fontId="31" fillId="2" borderId="29" xfId="1" applyNumberFormat="1" applyFont="1" applyFill="1" applyBorder="1" applyAlignment="1" applyProtection="1">
      <alignment horizontal="right" vertical="center"/>
      <protection locked="0"/>
    </xf>
    <xf numFmtId="2" fontId="31" fillId="2" borderId="35" xfId="1" applyNumberFormat="1" applyFont="1" applyFill="1" applyBorder="1" applyAlignment="1" applyProtection="1">
      <alignment vertical="center"/>
      <protection locked="0"/>
    </xf>
    <xf numFmtId="2" fontId="31" fillId="0" borderId="44" xfId="1" applyNumberFormat="1" applyFont="1" applyFill="1" applyBorder="1" applyAlignment="1" applyProtection="1">
      <alignment horizontal="right" vertical="center"/>
      <protection locked="0"/>
    </xf>
    <xf numFmtId="2" fontId="31" fillId="5" borderId="17" xfId="1" applyNumberFormat="1" applyFont="1" applyFill="1" applyBorder="1" applyAlignment="1" applyProtection="1">
      <alignment vertical="center"/>
      <protection locked="0"/>
    </xf>
    <xf numFmtId="2" fontId="31" fillId="0" borderId="16" xfId="1" applyNumberFormat="1" applyFont="1" applyFill="1" applyBorder="1" applyAlignment="1" applyProtection="1">
      <alignment vertical="center"/>
      <protection locked="0"/>
    </xf>
    <xf numFmtId="0" fontId="31" fillId="5" borderId="43" xfId="0" applyFont="1" applyFill="1" applyBorder="1" applyAlignment="1" applyProtection="1">
      <alignment vertical="center"/>
      <protection locked="0"/>
    </xf>
    <xf numFmtId="164" fontId="36" fillId="5" borderId="0" xfId="1" applyNumberFormat="1" applyFont="1" applyFill="1" applyBorder="1" applyAlignment="1" applyProtection="1">
      <alignment horizontal="right" vertical="center"/>
    </xf>
    <xf numFmtId="164" fontId="30" fillId="2" borderId="0" xfId="1" applyNumberFormat="1" applyFont="1" applyFill="1" applyBorder="1" applyAlignment="1" applyProtection="1">
      <alignment horizontal="right" vertical="center"/>
    </xf>
    <xf numFmtId="164" fontId="30" fillId="5" borderId="0" xfId="1" applyNumberFormat="1" applyFont="1" applyFill="1" applyBorder="1" applyAlignment="1" applyProtection="1">
      <alignment horizontal="right" vertical="center"/>
    </xf>
    <xf numFmtId="164" fontId="30" fillId="5" borderId="20" xfId="1" applyNumberFormat="1" applyFont="1" applyFill="1" applyBorder="1" applyAlignment="1" applyProtection="1">
      <alignment horizontal="right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 textRotation="90"/>
    </xf>
    <xf numFmtId="0" fontId="15" fillId="2" borderId="9" xfId="0" applyFont="1" applyFill="1" applyBorder="1" applyAlignment="1">
      <alignment horizontal="center" vertical="center" textRotation="90"/>
    </xf>
    <xf numFmtId="0" fontId="15" fillId="2" borderId="15" xfId="0" applyFont="1" applyFill="1" applyBorder="1" applyAlignment="1">
      <alignment horizontal="center" vertical="center" textRotation="90"/>
    </xf>
    <xf numFmtId="0" fontId="26" fillId="0" borderId="8" xfId="0" applyFont="1" applyFill="1" applyBorder="1" applyAlignment="1">
      <alignment horizontal="center" vertical="center" textRotation="90"/>
    </xf>
    <xf numFmtId="0" fontId="26" fillId="0" borderId="9" xfId="0" applyFont="1" applyFill="1" applyBorder="1" applyAlignment="1">
      <alignment horizontal="center" vertical="center" textRotation="90"/>
    </xf>
    <xf numFmtId="0" fontId="26" fillId="0" borderId="15" xfId="0" applyFont="1" applyFill="1" applyBorder="1" applyAlignment="1">
      <alignment horizontal="center" vertical="center" textRotation="90"/>
    </xf>
    <xf numFmtId="0" fontId="32" fillId="8" borderId="44" xfId="0" applyFont="1" applyFill="1" applyBorder="1" applyAlignment="1">
      <alignment horizontal="center" vertical="center"/>
    </xf>
    <xf numFmtId="0" fontId="32" fillId="8" borderId="48" xfId="0" applyFont="1" applyFill="1" applyBorder="1" applyAlignment="1">
      <alignment horizontal="center" vertical="center"/>
    </xf>
    <xf numFmtId="164" fontId="32" fillId="9" borderId="44" xfId="0" applyNumberFormat="1" applyFont="1" applyFill="1" applyBorder="1" applyAlignment="1">
      <alignment horizontal="center" vertical="center"/>
    </xf>
    <xf numFmtId="164" fontId="32" fillId="9" borderId="48" xfId="0" applyNumberFormat="1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 textRotation="90"/>
    </xf>
    <xf numFmtId="0" fontId="26" fillId="2" borderId="9" xfId="0" applyFont="1" applyFill="1" applyBorder="1" applyAlignment="1">
      <alignment horizontal="center" vertical="center" textRotation="90"/>
    </xf>
    <xf numFmtId="0" fontId="26" fillId="2" borderId="15" xfId="0" applyFont="1" applyFill="1" applyBorder="1" applyAlignment="1">
      <alignment horizontal="center" vertical="center" textRotation="90"/>
    </xf>
    <xf numFmtId="0" fontId="31" fillId="2" borderId="27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</cellXfs>
  <cellStyles count="3">
    <cellStyle name="Comma" xfId="1" builtinId="3"/>
    <cellStyle name="Normal" xfId="0" builtinId="0"/>
    <cellStyle name="Normal_RCK&amp;PN.XLS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Speed [m/s]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'Don''t change DATA'!$B$3:$B$8</c:f>
              <c:numCache>
                <c:formatCode>_ * #,##0.000_ ;_ * \-#,##0.000_ ;_ * "-"??_ ;_ @_ </c:formatCode>
                <c:ptCount val="6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0.32999999999999996</c:v>
                </c:pt>
                <c:pt idx="5">
                  <c:v>0.38999999999999996</c:v>
                </c:pt>
              </c:numCache>
            </c:numRef>
          </c:xVal>
          <c:yVal>
            <c:numRef>
              <c:f>'Don''t change DATA'!$C$3:$C$8</c:f>
              <c:numCache>
                <c:formatCode>0.00</c:formatCode>
                <c:ptCount val="6"/>
                <c:pt idx="0">
                  <c:v>0</c:v>
                </c:pt>
                <c:pt idx="1">
                  <c:v>0.29166666666666669</c:v>
                </c:pt>
                <c:pt idx="2">
                  <c:v>0.29166666666666669</c:v>
                </c:pt>
                <c:pt idx="3">
                  <c:v>0</c:v>
                </c:pt>
                <c:pt idx="4">
                  <c:v>0</c:v>
                </c:pt>
                <c:pt idx="5">
                  <c:v>-0.29166666666666669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78-4CF0-B51E-0A8605B95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89664"/>
        <c:axId val="81091584"/>
      </c:scatterChart>
      <c:valAx>
        <c:axId val="81089664"/>
        <c:scaling>
          <c:orientation val="minMax"/>
        </c:scaling>
        <c:delete val="0"/>
        <c:axPos val="b"/>
        <c:numFmt formatCode="_ * #,##0.000_ ;_ * \-#,##0.00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81091584"/>
        <c:crosses val="autoZero"/>
        <c:crossBetween val="midCat"/>
      </c:valAx>
      <c:valAx>
        <c:axId val="8109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810896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Force [N]</c:v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xVal>
            <c:numRef>
              <c:f>'Don''t change DATA'!$J$3:$J$13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0.12</c:v>
                </c:pt>
                <c:pt idx="5">
                  <c:v>0.12</c:v>
                </c:pt>
                <c:pt idx="6">
                  <c:v>0.18</c:v>
                </c:pt>
                <c:pt idx="7">
                  <c:v>0.18</c:v>
                </c:pt>
                <c:pt idx="8">
                  <c:v>0.32999999999999996</c:v>
                </c:pt>
                <c:pt idx="9">
                  <c:v>0.32999999999999996</c:v>
                </c:pt>
                <c:pt idx="10">
                  <c:v>0.38999999999999996</c:v>
                </c:pt>
              </c:numCache>
            </c:numRef>
          </c:xVal>
          <c:yVal>
            <c:numRef>
              <c:f>'Don''t change DATA'!$K$3:$K$13</c:f>
              <c:numCache>
                <c:formatCode>0.000</c:formatCode>
                <c:ptCount val="11"/>
                <c:pt idx="0">
                  <c:v>0</c:v>
                </c:pt>
                <c:pt idx="1">
                  <c:v>2.5660555555555558</c:v>
                </c:pt>
                <c:pt idx="2">
                  <c:v>2.5660555555555558</c:v>
                </c:pt>
                <c:pt idx="3">
                  <c:v>0.74800000000000011</c:v>
                </c:pt>
                <c:pt idx="4">
                  <c:v>0.74800000000000011</c:v>
                </c:pt>
                <c:pt idx="5">
                  <c:v>-1.0700555555555558</c:v>
                </c:pt>
                <c:pt idx="6">
                  <c:v>-1.0700555555555558</c:v>
                </c:pt>
                <c:pt idx="7">
                  <c:v>0</c:v>
                </c:pt>
                <c:pt idx="8">
                  <c:v>0</c:v>
                </c:pt>
                <c:pt idx="9">
                  <c:v>2.5660555555555558</c:v>
                </c:pt>
                <c:pt idx="10">
                  <c:v>2.5660555555555558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2C-43D3-809B-65D94793F573}"/>
            </c:ext>
          </c:extLst>
        </c:ser>
        <c:ser>
          <c:idx val="1"/>
          <c:order val="1"/>
          <c:tx>
            <c:v>Required continous force [N]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'Don''t change DATA'!$M$3:$M$4</c:f>
              <c:numCache>
                <c:formatCode>0.00</c:formatCode>
                <c:ptCount val="2"/>
                <c:pt idx="0">
                  <c:v>0</c:v>
                </c:pt>
                <c:pt idx="1">
                  <c:v>0.65999999999999992</c:v>
                </c:pt>
              </c:numCache>
            </c:numRef>
          </c:xVal>
          <c:yVal>
            <c:numRef>
              <c:f>'Don''t change DATA'!$N$3:$N$4</c:f>
              <c:numCache>
                <c:formatCode>0.00</c:formatCode>
                <c:ptCount val="2"/>
                <c:pt idx="0">
                  <c:v>1.227648454727599</c:v>
                </c:pt>
                <c:pt idx="1">
                  <c:v>1.227648454727599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2C-43D3-809B-65D94793F5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919296"/>
        <c:axId val="70921216"/>
      </c:scatterChart>
      <c:valAx>
        <c:axId val="7091929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70921216"/>
        <c:crosses val="autoZero"/>
        <c:crossBetween val="midCat"/>
      </c:valAx>
      <c:valAx>
        <c:axId val="7092121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70919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15859766277128E-2"/>
          <c:y val="3.4574512984272388E-2"/>
          <c:w val="0.86978297161936557"/>
          <c:h val="0.87500113629427811"/>
        </c:manualLayout>
      </c:layout>
      <c:scatterChart>
        <c:scatterStyle val="lineMarker"/>
        <c:varyColors val="0"/>
        <c:ser>
          <c:idx val="0"/>
          <c:order val="0"/>
          <c:tx>
            <c:v>Speed [m/s]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9525">
                <a:noFill/>
              </a:ln>
            </c:spPr>
          </c:marker>
          <c:xVal>
            <c:numRef>
              <c:f>'Don''t change DATA'!$B$3:$B$11</c:f>
              <c:numCache>
                <c:formatCode>_ * #,##0.000_ ;_ * \-#,##0.000_ ;_ * "-"??_ ;_ @_ </c:formatCode>
                <c:ptCount val="9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0.32999999999999996</c:v>
                </c:pt>
                <c:pt idx="5">
                  <c:v>0.38999999999999996</c:v>
                </c:pt>
                <c:pt idx="6">
                  <c:v>0.44999999999999996</c:v>
                </c:pt>
                <c:pt idx="7">
                  <c:v>0.51</c:v>
                </c:pt>
                <c:pt idx="8">
                  <c:v>0.65999999999999992</c:v>
                </c:pt>
              </c:numCache>
            </c:numRef>
          </c:xVal>
          <c:yVal>
            <c:numRef>
              <c:f>'Don''t change DATA'!$C$3:$C$11</c:f>
              <c:numCache>
                <c:formatCode>0.00</c:formatCode>
                <c:ptCount val="9"/>
                <c:pt idx="0">
                  <c:v>0</c:v>
                </c:pt>
                <c:pt idx="1">
                  <c:v>0.29166666666666669</c:v>
                </c:pt>
                <c:pt idx="2">
                  <c:v>0.29166666666666669</c:v>
                </c:pt>
                <c:pt idx="3">
                  <c:v>0</c:v>
                </c:pt>
                <c:pt idx="4">
                  <c:v>0</c:v>
                </c:pt>
                <c:pt idx="5">
                  <c:v>-0.29166666666666669</c:v>
                </c:pt>
                <c:pt idx="6">
                  <c:v>-0.29166666666666669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2E-4462-B77E-F7B36C04E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553088"/>
        <c:axId val="78555392"/>
      </c:scatterChart>
      <c:valAx>
        <c:axId val="7855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[s]</a:t>
                </a:r>
              </a:p>
            </c:rich>
          </c:tx>
          <c:layout>
            <c:manualLayout>
              <c:xMode val="edge"/>
              <c:yMode val="edge"/>
              <c:x val="0.85308848021904238"/>
              <c:y val="0.93351178361190479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00_ ;_ * \-#,##0.00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78555392"/>
        <c:crosses val="autoZero"/>
        <c:crossBetween val="midCat"/>
      </c:valAx>
      <c:valAx>
        <c:axId val="785553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7855308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04007638580066"/>
          <c:y val="0.93617126840868137"/>
          <c:w val="0.19866446926692305"/>
          <c:h val="4.25531273342790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445182724252497E-2"/>
          <c:y val="2.9545454545454545E-2"/>
          <c:w val="0.89534883720930236"/>
          <c:h val="0.87954545454545452"/>
        </c:manualLayout>
      </c:layout>
      <c:scatterChart>
        <c:scatterStyle val="lineMarker"/>
        <c:varyColors val="0"/>
        <c:ser>
          <c:idx val="0"/>
          <c:order val="0"/>
          <c:tx>
            <c:v>Force [N]</c:v>
          </c:tx>
          <c:spPr>
            <a:ln w="25400">
              <a:solidFill>
                <a:srgbClr val="3333CC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3333CC"/>
              </a:solidFill>
              <a:ln w="9525">
                <a:noFill/>
              </a:ln>
            </c:spPr>
          </c:marker>
          <c:xVal>
            <c:numRef>
              <c:f>'Don''t change DATA'!$J$3:$J$20</c:f>
              <c:numCache>
                <c:formatCode>0.00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0.06</c:v>
                </c:pt>
                <c:pt idx="3">
                  <c:v>0.06</c:v>
                </c:pt>
                <c:pt idx="4">
                  <c:v>0.12</c:v>
                </c:pt>
                <c:pt idx="5">
                  <c:v>0.12</c:v>
                </c:pt>
                <c:pt idx="6">
                  <c:v>0.18</c:v>
                </c:pt>
                <c:pt idx="7">
                  <c:v>0.18</c:v>
                </c:pt>
                <c:pt idx="8">
                  <c:v>0.32999999999999996</c:v>
                </c:pt>
                <c:pt idx="9">
                  <c:v>0.32999999999999996</c:v>
                </c:pt>
                <c:pt idx="10">
                  <c:v>0.38999999999999996</c:v>
                </c:pt>
                <c:pt idx="11">
                  <c:v>0.38999999999999996</c:v>
                </c:pt>
                <c:pt idx="12">
                  <c:v>0.44999999999999996</c:v>
                </c:pt>
                <c:pt idx="13">
                  <c:v>0.44999999999999996</c:v>
                </c:pt>
                <c:pt idx="14">
                  <c:v>0.51</c:v>
                </c:pt>
                <c:pt idx="15">
                  <c:v>0.51</c:v>
                </c:pt>
                <c:pt idx="16">
                  <c:v>0.65999999999999992</c:v>
                </c:pt>
              </c:numCache>
            </c:numRef>
          </c:xVal>
          <c:yVal>
            <c:numRef>
              <c:f>'Don''t change DATA'!$K$3:$K$19</c:f>
              <c:numCache>
                <c:formatCode>0.000</c:formatCode>
                <c:ptCount val="17"/>
                <c:pt idx="0">
                  <c:v>0</c:v>
                </c:pt>
                <c:pt idx="1">
                  <c:v>2.5660555555555558</c:v>
                </c:pt>
                <c:pt idx="2">
                  <c:v>2.5660555555555558</c:v>
                </c:pt>
                <c:pt idx="3">
                  <c:v>0.74800000000000011</c:v>
                </c:pt>
                <c:pt idx="4">
                  <c:v>0.74800000000000011</c:v>
                </c:pt>
                <c:pt idx="5">
                  <c:v>-1.0700555555555558</c:v>
                </c:pt>
                <c:pt idx="6">
                  <c:v>-1.0700555555555558</c:v>
                </c:pt>
                <c:pt idx="7">
                  <c:v>0</c:v>
                </c:pt>
                <c:pt idx="8">
                  <c:v>0</c:v>
                </c:pt>
                <c:pt idx="9">
                  <c:v>2.5660555555555558</c:v>
                </c:pt>
                <c:pt idx="10">
                  <c:v>2.5660555555555558</c:v>
                </c:pt>
                <c:pt idx="11">
                  <c:v>0.74800000000000011</c:v>
                </c:pt>
                <c:pt idx="12">
                  <c:v>0.74800000000000011</c:v>
                </c:pt>
                <c:pt idx="13">
                  <c:v>-1.0700555555555558</c:v>
                </c:pt>
                <c:pt idx="14">
                  <c:v>-1.0700555555555558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EC-4F33-BA5B-DD80D7454F85}"/>
            </c:ext>
          </c:extLst>
        </c:ser>
        <c:ser>
          <c:idx val="1"/>
          <c:order val="1"/>
          <c:tx>
            <c:v>Required continous force [N]</c:v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'Don''t change DATA'!$M$3:$M$4</c:f>
              <c:numCache>
                <c:formatCode>0.00</c:formatCode>
                <c:ptCount val="2"/>
                <c:pt idx="0">
                  <c:v>0</c:v>
                </c:pt>
                <c:pt idx="1">
                  <c:v>0.65999999999999992</c:v>
                </c:pt>
              </c:numCache>
            </c:numRef>
          </c:xVal>
          <c:yVal>
            <c:numRef>
              <c:f>'Don''t change DATA'!$N$3:$N$4</c:f>
              <c:numCache>
                <c:formatCode>0.00</c:formatCode>
                <c:ptCount val="2"/>
                <c:pt idx="0">
                  <c:v>1.227648454727599</c:v>
                </c:pt>
                <c:pt idx="1">
                  <c:v>1.227648454727599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EC-4F33-BA5B-DD80D7454F85}"/>
            </c:ext>
          </c:extLst>
        </c:ser>
        <c:ser>
          <c:idx val="2"/>
          <c:order val="2"/>
          <c:tx>
            <c:v>Fe max [N]</c:v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circle"/>
            <c:size val="5"/>
            <c:spPr>
              <a:noFill/>
              <a:ln w="9525">
                <a:noFill/>
              </a:ln>
            </c:spPr>
          </c:marker>
          <c:xVal>
            <c:numRef>
              <c:f>'Don''t change DATA'!$M$3:$M$4</c:f>
              <c:numCache>
                <c:formatCode>0.00</c:formatCode>
                <c:ptCount val="2"/>
                <c:pt idx="0">
                  <c:v>0</c:v>
                </c:pt>
                <c:pt idx="1">
                  <c:v>0.65999999999999992</c:v>
                </c:pt>
              </c:numCache>
            </c:numRef>
          </c:xVal>
          <c:yVal>
            <c:numRef>
              <c:f>'Don''t change DATA'!$O$3:$O$4</c:f>
              <c:numCache>
                <c:formatCode>General</c:formatCode>
                <c:ptCount val="2"/>
                <c:pt idx="0">
                  <c:v>3.5462277746419688</c:v>
                </c:pt>
                <c:pt idx="1">
                  <c:v>3.5462277746419688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EC-4F33-BA5B-DD80D7454F85}"/>
            </c:ext>
          </c:extLst>
        </c:ser>
        <c:ser>
          <c:idx val="3"/>
          <c:order val="3"/>
          <c:tx>
            <c:v>Fp max [N]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'Don''t change DATA'!$M$3:$M$4</c:f>
              <c:numCache>
                <c:formatCode>0.00</c:formatCode>
                <c:ptCount val="2"/>
                <c:pt idx="0">
                  <c:v>0</c:v>
                </c:pt>
                <c:pt idx="1">
                  <c:v>0.65999999999999992</c:v>
                </c:pt>
              </c:numCache>
            </c:numRef>
          </c:xVal>
          <c:yVal>
            <c:numRef>
              <c:f>'Don''t change DATA'!$Q$3:$Q$4</c:f>
              <c:numCache>
                <c:formatCode>General</c:formatCode>
                <c:ptCount val="2"/>
                <c:pt idx="0">
                  <c:v>10.673799999999998</c:v>
                </c:pt>
                <c:pt idx="1">
                  <c:v>10.673799999999998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FEC-4F33-BA5B-DD80D7454F85}"/>
            </c:ext>
          </c:extLst>
        </c:ser>
        <c:ser>
          <c:idx val="4"/>
          <c:order val="4"/>
          <c:tx>
            <c:v>- Fp max [N]</c:v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'Don''t change DATA'!$M$3:$M$4</c:f>
              <c:numCache>
                <c:formatCode>0.00</c:formatCode>
                <c:ptCount val="2"/>
                <c:pt idx="0">
                  <c:v>0</c:v>
                </c:pt>
                <c:pt idx="1">
                  <c:v>0.65999999999999992</c:v>
                </c:pt>
              </c:numCache>
            </c:numRef>
          </c:xVal>
          <c:yVal>
            <c:numRef>
              <c:f>'Don''t change DATA'!$P$3:$P$4</c:f>
              <c:numCache>
                <c:formatCode>General</c:formatCode>
                <c:ptCount val="2"/>
                <c:pt idx="0">
                  <c:v>-10.673799999999998</c:v>
                </c:pt>
                <c:pt idx="1">
                  <c:v>-10.673799999999998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FEC-4F33-BA5B-DD80D7454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883264"/>
        <c:axId val="81007744"/>
      </c:scatterChart>
      <c:valAx>
        <c:axId val="79883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[s]</a:t>
                </a:r>
              </a:p>
            </c:rich>
          </c:tx>
          <c:layout>
            <c:manualLayout>
              <c:xMode val="edge"/>
              <c:yMode val="edge"/>
              <c:x val="0.87375423843163891"/>
              <c:y val="0.9227272727272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00" sourceLinked="0"/>
        <c:majorTickMark val="out"/>
        <c:minorTickMark val="none"/>
        <c:tickLblPos val="nextTo"/>
        <c:spPr>
          <a:ln w="12700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81007744"/>
        <c:crosses val="autoZero"/>
        <c:crossBetween val="midCat"/>
      </c:valAx>
      <c:valAx>
        <c:axId val="81007744"/>
        <c:scaling>
          <c:orientation val="minMax"/>
          <c:max val="30"/>
          <c:min val="-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7988326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1133832151578069"/>
          <c:y val="0.93555905511811033"/>
          <c:w val="0.76919253252547415"/>
          <c:h val="6.22152230971128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089700996677748E-2"/>
          <c:y val="3.2994964748280786E-2"/>
          <c:w val="0.89202657807308972"/>
          <c:h val="0.85786908345530055"/>
        </c:manualLayout>
      </c:layout>
      <c:scatterChart>
        <c:scatterStyle val="smoothMarker"/>
        <c:varyColors val="0"/>
        <c:ser>
          <c:idx val="0"/>
          <c:order val="0"/>
          <c:tx>
            <c:v>Space [mm]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8080"/>
              </a:solidFill>
              <a:ln w="9525">
                <a:noFill/>
              </a:ln>
            </c:spPr>
          </c:marker>
          <c:xVal>
            <c:numRef>
              <c:f>'Don''t change DATA'!$F$4:$F$35</c:f>
              <c:numCache>
                <c:formatCode>_ * #,##0.000_ ;_ * \-#,##0.000_ ;_ * "-"??_ ;_ @_ </c:formatCode>
                <c:ptCount val="32"/>
                <c:pt idx="0">
                  <c:v>1.4999999999999999E-2</c:v>
                </c:pt>
                <c:pt idx="1">
                  <c:v>0.03</c:v>
                </c:pt>
                <c:pt idx="2">
                  <c:v>4.4999999999999998E-2</c:v>
                </c:pt>
                <c:pt idx="3">
                  <c:v>0.06</c:v>
                </c:pt>
                <c:pt idx="4">
                  <c:v>7.4999999999999997E-2</c:v>
                </c:pt>
                <c:pt idx="5">
                  <c:v>0.09</c:v>
                </c:pt>
                <c:pt idx="6">
                  <c:v>0.105</c:v>
                </c:pt>
                <c:pt idx="7">
                  <c:v>0.12</c:v>
                </c:pt>
                <c:pt idx="8">
                  <c:v>0.13500000000000001</c:v>
                </c:pt>
                <c:pt idx="9">
                  <c:v>0.15000000000000002</c:v>
                </c:pt>
                <c:pt idx="10">
                  <c:v>0.16500000000000004</c:v>
                </c:pt>
                <c:pt idx="11">
                  <c:v>0.18000000000000005</c:v>
                </c:pt>
                <c:pt idx="12">
                  <c:v>0.21750000000000005</c:v>
                </c:pt>
                <c:pt idx="13">
                  <c:v>0.25500000000000006</c:v>
                </c:pt>
                <c:pt idx="14">
                  <c:v>0.29250000000000004</c:v>
                </c:pt>
                <c:pt idx="15">
                  <c:v>0.33</c:v>
                </c:pt>
                <c:pt idx="16">
                  <c:v>0.34500000000000003</c:v>
                </c:pt>
                <c:pt idx="17">
                  <c:v>0.36000000000000004</c:v>
                </c:pt>
                <c:pt idx="18">
                  <c:v>0.37500000000000006</c:v>
                </c:pt>
                <c:pt idx="19">
                  <c:v>0.39000000000000007</c:v>
                </c:pt>
                <c:pt idx="20">
                  <c:v>0.40500000000000008</c:v>
                </c:pt>
                <c:pt idx="21">
                  <c:v>0.4200000000000001</c:v>
                </c:pt>
                <c:pt idx="22">
                  <c:v>0.43500000000000011</c:v>
                </c:pt>
                <c:pt idx="23">
                  <c:v>0.45000000000000012</c:v>
                </c:pt>
                <c:pt idx="24">
                  <c:v>0.46500000000000014</c:v>
                </c:pt>
                <c:pt idx="25">
                  <c:v>0.48000000000000015</c:v>
                </c:pt>
                <c:pt idx="26">
                  <c:v>0.49500000000000016</c:v>
                </c:pt>
                <c:pt idx="27">
                  <c:v>0.51000000000000012</c:v>
                </c:pt>
                <c:pt idx="28">
                  <c:v>0.5475000000000001</c:v>
                </c:pt>
                <c:pt idx="29">
                  <c:v>0.58500000000000008</c:v>
                </c:pt>
                <c:pt idx="30">
                  <c:v>0.62250000000000005</c:v>
                </c:pt>
                <c:pt idx="31">
                  <c:v>0.66</c:v>
                </c:pt>
              </c:numCache>
            </c:numRef>
          </c:xVal>
          <c:yVal>
            <c:numRef>
              <c:f>'Don''t change DATA'!$H$4:$H$35</c:f>
              <c:numCache>
                <c:formatCode>_ * #,##0.000_ ;_ * \-#,##0.000_ ;_ * "-"??_ ;_ @_ </c:formatCode>
                <c:ptCount val="32"/>
                <c:pt idx="0">
                  <c:v>0.546875</c:v>
                </c:pt>
                <c:pt idx="1">
                  <c:v>2.1875</c:v>
                </c:pt>
                <c:pt idx="2">
                  <c:v>4.921875</c:v>
                </c:pt>
                <c:pt idx="3">
                  <c:v>8.75</c:v>
                </c:pt>
                <c:pt idx="4">
                  <c:v>13.125000000000002</c:v>
                </c:pt>
                <c:pt idx="5">
                  <c:v>17.5</c:v>
                </c:pt>
                <c:pt idx="6">
                  <c:v>21.875000000000004</c:v>
                </c:pt>
                <c:pt idx="7">
                  <c:v>26.250000000000004</c:v>
                </c:pt>
                <c:pt idx="8">
                  <c:v>30.078125</c:v>
                </c:pt>
                <c:pt idx="9">
                  <c:v>32.812500000000007</c:v>
                </c:pt>
                <c:pt idx="10">
                  <c:v>34.453125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34.453125</c:v>
                </c:pt>
                <c:pt idx="17">
                  <c:v>32.8125</c:v>
                </c:pt>
                <c:pt idx="18">
                  <c:v>30.078125000000004</c:v>
                </c:pt>
                <c:pt idx="19">
                  <c:v>26.250000000000004</c:v>
                </c:pt>
                <c:pt idx="20">
                  <c:v>21.875000000000004</c:v>
                </c:pt>
                <c:pt idx="21">
                  <c:v>17.5</c:v>
                </c:pt>
                <c:pt idx="22">
                  <c:v>13.125000000000002</c:v>
                </c:pt>
                <c:pt idx="23">
                  <c:v>8.75</c:v>
                </c:pt>
                <c:pt idx="24">
                  <c:v>4.9218750000000009</c:v>
                </c:pt>
                <c:pt idx="25">
                  <c:v>2.1875</c:v>
                </c:pt>
                <c:pt idx="26">
                  <c:v>0.54687500000000133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F9-40DD-8688-A0A2140F2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045760"/>
        <c:axId val="81048320"/>
      </c:scatterChart>
      <c:valAx>
        <c:axId val="8104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Time [s]</a:t>
                </a:r>
              </a:p>
            </c:rich>
          </c:tx>
          <c:layout>
            <c:manualLayout>
              <c:xMode val="edge"/>
              <c:yMode val="edge"/>
              <c:x val="0.85215946843853818"/>
              <c:y val="0.91624474076418838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00_ ;_ * \-#,##0.00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81048320"/>
        <c:crosses val="autoZero"/>
        <c:crossBetween val="midCat"/>
      </c:valAx>
      <c:valAx>
        <c:axId val="810483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_ * #,##0.000_ ;_ * \-#,##0.000_ ;_ * &quot;-&quot;??_ ;_ @_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CH"/>
          </a:p>
        </c:txPr>
        <c:crossAx val="810457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1362126245847175"/>
          <c:y val="0.93908730001714613"/>
          <c:w val="0.19767441860465118"/>
          <c:h val="4.06090821561877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CH"/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CH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7" Type="http://schemas.openxmlformats.org/officeDocument/2006/relationships/image" Target="../media/image5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6.png"/><Relationship Id="rId5" Type="http://schemas.openxmlformats.org/officeDocument/2006/relationships/image" Target="../media/image4.png"/><Relationship Id="rId4" Type="http://schemas.openxmlformats.org/officeDocument/2006/relationships/hyperlink" Target="http://www.faulhab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0</xdr:rowOff>
    </xdr:to>
    <xdr:graphicFrame macro="">
      <xdr:nvGraphicFramePr>
        <xdr:cNvPr id="46702" name="Chart 2">
          <a:extLst>
            <a:ext uri="{FF2B5EF4-FFF2-40B4-BE49-F238E27FC236}">
              <a16:creationId xmlns:a16="http://schemas.microsoft.com/office/drawing/2014/main" id="{00000000-0008-0000-0000-00006EB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083" name="Text Box 3">
          <a:extLst>
            <a:ext uri="{FF2B5EF4-FFF2-40B4-BE49-F238E27FC236}">
              <a16:creationId xmlns:a16="http://schemas.microsoft.com/office/drawing/2014/main" id="{00000000-0008-0000-0000-000003B40000}"/>
            </a:ext>
          </a:extLst>
        </xdr:cNvPr>
        <xdr:cNvSpPr txBox="1">
          <a:spLocks noChangeArrowheads="1"/>
        </xdr:cNvSpPr>
      </xdr:nvSpPr>
      <xdr:spPr bwMode="auto">
        <a:xfrm>
          <a:off x="37909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46084" name="Text Box 4">
          <a:extLst>
            <a:ext uri="{FF2B5EF4-FFF2-40B4-BE49-F238E27FC236}">
              <a16:creationId xmlns:a16="http://schemas.microsoft.com/office/drawing/2014/main" id="{00000000-0008-0000-0000-000004B40000}"/>
            </a:ext>
          </a:extLst>
        </xdr:cNvPr>
        <xdr:cNvSpPr txBox="1">
          <a:spLocks noChangeArrowheads="1"/>
        </xdr:cNvSpPr>
      </xdr:nvSpPr>
      <xdr:spPr bwMode="auto">
        <a:xfrm>
          <a:off x="3790950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Trapezoidal Profil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142875</xdr:colOff>
      <xdr:row>0</xdr:row>
      <xdr:rowOff>0</xdr:rowOff>
    </xdr:to>
    <xdr:graphicFrame macro="">
      <xdr:nvGraphicFramePr>
        <xdr:cNvPr id="46705" name="Chart 5">
          <a:extLst>
            <a:ext uri="{FF2B5EF4-FFF2-40B4-BE49-F238E27FC236}">
              <a16:creationId xmlns:a16="http://schemas.microsoft.com/office/drawing/2014/main" id="{00000000-0008-0000-0000-000071B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3</xdr:row>
      <xdr:rowOff>47625</xdr:rowOff>
    </xdr:from>
    <xdr:to>
      <xdr:col>6</xdr:col>
      <xdr:colOff>0</xdr:colOff>
      <xdr:row>4</xdr:row>
      <xdr:rowOff>28575</xdr:rowOff>
    </xdr:to>
    <xdr:sp macro="" textlink="">
      <xdr:nvSpPr>
        <xdr:cNvPr id="46089" name="Text Box 9">
          <a:extLst>
            <a:ext uri="{FF2B5EF4-FFF2-40B4-BE49-F238E27FC236}">
              <a16:creationId xmlns:a16="http://schemas.microsoft.com/office/drawing/2014/main" id="{00000000-0008-0000-0000-000009B40000}"/>
            </a:ext>
          </a:extLst>
        </xdr:cNvPr>
        <xdr:cNvSpPr txBox="1">
          <a:spLocks noChangeArrowheads="1"/>
        </xdr:cNvSpPr>
      </xdr:nvSpPr>
      <xdr:spPr bwMode="auto">
        <a:xfrm>
          <a:off x="3790950" y="523875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6</xdr:col>
      <xdr:colOff>0</xdr:colOff>
      <xdr:row>3</xdr:row>
      <xdr:rowOff>114300</xdr:rowOff>
    </xdr:from>
    <xdr:to>
      <xdr:col>6</xdr:col>
      <xdr:colOff>0</xdr:colOff>
      <xdr:row>5</xdr:row>
      <xdr:rowOff>9525</xdr:rowOff>
    </xdr:to>
    <xdr:sp macro="" textlink="">
      <xdr:nvSpPr>
        <xdr:cNvPr id="46090" name="Text Box 10">
          <a:extLst>
            <a:ext uri="{FF2B5EF4-FFF2-40B4-BE49-F238E27FC236}">
              <a16:creationId xmlns:a16="http://schemas.microsoft.com/office/drawing/2014/main" id="{00000000-0008-0000-0000-00000AB40000}"/>
            </a:ext>
          </a:extLst>
        </xdr:cNvPr>
        <xdr:cNvSpPr txBox="1">
          <a:spLocks noChangeArrowheads="1"/>
        </xdr:cNvSpPr>
      </xdr:nvSpPr>
      <xdr:spPr bwMode="auto">
        <a:xfrm>
          <a:off x="3790950" y="590550"/>
          <a:ext cx="0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Trapezoidal Profil</a:t>
          </a:r>
        </a:p>
      </xdr:txBody>
    </xdr:sp>
    <xdr:clientData/>
  </xdr:twoCellAnchor>
  <xdr:twoCellAnchor editAs="oneCell">
    <xdr:from>
      <xdr:col>2</xdr:col>
      <xdr:colOff>504825</xdr:colOff>
      <xdr:row>10</xdr:row>
      <xdr:rowOff>66675</xdr:rowOff>
    </xdr:from>
    <xdr:to>
      <xdr:col>3</xdr:col>
      <xdr:colOff>314325</xdr:colOff>
      <xdr:row>13</xdr:row>
      <xdr:rowOff>38100</xdr:rowOff>
    </xdr:to>
    <xdr:pic>
      <xdr:nvPicPr>
        <xdr:cNvPr id="46708" name="Picture 17">
          <a:extLst>
            <a:ext uri="{FF2B5EF4-FFF2-40B4-BE49-F238E27FC236}">
              <a16:creationId xmlns:a16="http://schemas.microsoft.com/office/drawing/2014/main" id="{00000000-0008-0000-0000-000074B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1638300"/>
          <a:ext cx="20002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114300</xdr:colOff>
      <xdr:row>3</xdr:row>
      <xdr:rowOff>114300</xdr:rowOff>
    </xdr:from>
    <xdr:to>
      <xdr:col>7</xdr:col>
      <xdr:colOff>1495425</xdr:colOff>
      <xdr:row>9</xdr:row>
      <xdr:rowOff>142875</xdr:rowOff>
    </xdr:to>
    <xdr:sp macro="" textlink="">
      <xdr:nvSpPr>
        <xdr:cNvPr id="46102" name="Rectangle 22">
          <a:extLst>
            <a:ext uri="{FF2B5EF4-FFF2-40B4-BE49-F238E27FC236}">
              <a16:creationId xmlns:a16="http://schemas.microsoft.com/office/drawing/2014/main" id="{00000000-0008-0000-0000-000016B40000}"/>
            </a:ext>
          </a:extLst>
        </xdr:cNvPr>
        <xdr:cNvSpPr>
          <a:spLocks noChangeArrowheads="1"/>
        </xdr:cNvSpPr>
      </xdr:nvSpPr>
      <xdr:spPr bwMode="auto">
        <a:xfrm>
          <a:off x="257175" y="590550"/>
          <a:ext cx="5172075" cy="971550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>
          <a:outerShdw sx="1000" sy="1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rtl="0"/>
          <a:r>
            <a:rPr lang="it-CH" sz="1400" b="1" i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The software performs static and dynamic calculations with Linear</a:t>
          </a:r>
          <a:endParaRPr lang="it-CH" sz="1400" baseline="0"/>
        </a:p>
        <a:p>
          <a:pPr rtl="0"/>
          <a:r>
            <a:rPr lang="it-CH" sz="1400" b="1" i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DC-Servomotor and the results are presented in chart and graphic.</a:t>
          </a:r>
          <a:endParaRPr lang="it-CH" sz="1400" baseline="0"/>
        </a:p>
        <a:p>
          <a:pPr rtl="0"/>
          <a:r>
            <a:rPr lang="it-CH" sz="1400" b="1" i="0" baseline="0">
              <a:effectLst>
                <a:outerShdw blurRad="50800" dist="38100" algn="tr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rPr>
            <a:t>The motor calculation program is based on the Microsoft-Excel software.</a:t>
          </a:r>
          <a:endParaRPr lang="it-CH" sz="1400" baseline="0"/>
        </a:p>
        <a:p>
          <a:pPr algn="l" rtl="0">
            <a:defRPr sz="1000"/>
          </a:pPr>
          <a:endParaRPr lang="it-CH" sz="1400" b="0" i="0" u="none" strike="noStrike" baseline="0">
            <a:ln>
              <a:noFill/>
            </a:ln>
            <a:solidFill>
              <a:schemeClr val="tx1"/>
            </a:solidFill>
            <a:effectLst>
              <a:outerShdw sx="2000" sy="2000" algn="ctr" rotWithShape="0">
                <a:schemeClr val="tx2">
                  <a:lumMod val="20000"/>
                  <a:lumOff val="80000"/>
                </a:schemeClr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876300</xdr:colOff>
      <xdr:row>27</xdr:row>
      <xdr:rowOff>66675</xdr:rowOff>
    </xdr:from>
    <xdr:to>
      <xdr:col>6</xdr:col>
      <xdr:colOff>2590800</xdr:colOff>
      <xdr:row>29</xdr:row>
      <xdr:rowOff>123825</xdr:rowOff>
    </xdr:to>
    <xdr:sp macro="" textlink="">
      <xdr:nvSpPr>
        <xdr:cNvPr id="46121" name="Rectangle 41">
          <a:extLst>
            <a:ext uri="{FF2B5EF4-FFF2-40B4-BE49-F238E27FC236}">
              <a16:creationId xmlns:a16="http://schemas.microsoft.com/office/drawing/2014/main" id="{00000000-0008-0000-0000-000029B40000}"/>
            </a:ext>
          </a:extLst>
        </xdr:cNvPr>
        <xdr:cNvSpPr>
          <a:spLocks noChangeArrowheads="1"/>
        </xdr:cNvSpPr>
      </xdr:nvSpPr>
      <xdr:spPr bwMode="auto">
        <a:xfrm>
          <a:off x="3933825" y="4257675"/>
          <a:ext cx="0" cy="361950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MINIMOTOR SA</a:t>
          </a:r>
        </a:p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6980 Croglio, Switzerland – 29.08.2007</a:t>
          </a:r>
        </a:p>
      </xdr:txBody>
    </xdr:sp>
    <xdr:clientData/>
  </xdr:twoCellAnchor>
  <xdr:twoCellAnchor editAs="oneCell">
    <xdr:from>
      <xdr:col>7</xdr:col>
      <xdr:colOff>4419600</xdr:colOff>
      <xdr:row>46</xdr:row>
      <xdr:rowOff>114300</xdr:rowOff>
    </xdr:from>
    <xdr:to>
      <xdr:col>8</xdr:col>
      <xdr:colOff>114300</xdr:colOff>
      <xdr:row>48</xdr:row>
      <xdr:rowOff>142875</xdr:rowOff>
    </xdr:to>
    <xdr:sp macro="" textlink="">
      <xdr:nvSpPr>
        <xdr:cNvPr id="7" name="Rectangle -101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8353425" y="7200900"/>
          <a:ext cx="2019300" cy="352425"/>
        </a:xfrm>
        <a:prstGeom prst="rect">
          <a:avLst/>
        </a:prstGeom>
        <a:noFill/>
        <a:ln w="317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1" i="0" u="none" strike="noStrike" baseline="0">
              <a:solidFill>
                <a:srgbClr val="333399"/>
              </a:solidFill>
              <a:latin typeface="Arial"/>
              <a:cs typeface="Arial"/>
            </a:rPr>
            <a:t>FAULHABER MINIMOTOR SA</a:t>
          </a:r>
          <a:endParaRPr lang="it-CH" sz="800" b="0" i="0" u="none" strike="noStrike" baseline="0">
            <a:solidFill>
              <a:srgbClr val="333399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CH" sz="800" b="0" i="0" u="none" strike="noStrike" baseline="0">
              <a:solidFill>
                <a:srgbClr val="333399"/>
              </a:solidFill>
              <a:latin typeface="Arial"/>
              <a:cs typeface="Arial"/>
            </a:rPr>
            <a:t>6980 Croglio, Switzerland, 09.2017</a:t>
          </a:r>
        </a:p>
      </xdr:txBody>
    </xdr:sp>
    <xdr:clientData/>
  </xdr:twoCellAnchor>
  <xdr:twoCellAnchor editAs="oneCell">
    <xdr:from>
      <xdr:col>7</xdr:col>
      <xdr:colOff>1428750</xdr:colOff>
      <xdr:row>4</xdr:row>
      <xdr:rowOff>66675</xdr:rowOff>
    </xdr:from>
    <xdr:to>
      <xdr:col>7</xdr:col>
      <xdr:colOff>6200775</xdr:colOff>
      <xdr:row>46</xdr:row>
      <xdr:rowOff>0</xdr:rowOff>
    </xdr:to>
    <xdr:pic>
      <xdr:nvPicPr>
        <xdr:cNvPr id="46712" name="Picture 44">
          <a:extLst>
            <a:ext uri="{FF2B5EF4-FFF2-40B4-BE49-F238E27FC236}">
              <a16:creationId xmlns:a16="http://schemas.microsoft.com/office/drawing/2014/main" id="{00000000-0008-0000-0000-000078B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2575" y="704850"/>
          <a:ext cx="477202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47</xdr:row>
      <xdr:rowOff>142875</xdr:rowOff>
    </xdr:from>
    <xdr:to>
      <xdr:col>2</xdr:col>
      <xdr:colOff>1400175</xdr:colOff>
      <xdr:row>48</xdr:row>
      <xdr:rowOff>85725</xdr:rowOff>
    </xdr:to>
    <xdr:pic>
      <xdr:nvPicPr>
        <xdr:cNvPr id="46713" name="Picture 45">
          <a:extLst>
            <a:ext uri="{FF2B5EF4-FFF2-40B4-BE49-F238E27FC236}">
              <a16:creationId xmlns:a16="http://schemas.microsoft.com/office/drawing/2014/main" id="{00000000-0008-0000-0000-000079B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391400"/>
          <a:ext cx="14573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2667000</xdr:colOff>
      <xdr:row>1</xdr:row>
      <xdr:rowOff>152400</xdr:rowOff>
    </xdr:from>
    <xdr:to>
      <xdr:col>7</xdr:col>
      <xdr:colOff>6172200</xdr:colOff>
      <xdr:row>3</xdr:row>
      <xdr:rowOff>123825</xdr:rowOff>
    </xdr:to>
    <xdr:pic>
      <xdr:nvPicPr>
        <xdr:cNvPr id="46714" name="Picture 46">
          <a:extLst>
            <a:ext uri="{FF2B5EF4-FFF2-40B4-BE49-F238E27FC236}">
              <a16:creationId xmlns:a16="http://schemas.microsoft.com/office/drawing/2014/main" id="{00000000-0008-0000-0000-00007AB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304800"/>
          <a:ext cx="35052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14</xdr:row>
      <xdr:rowOff>28575</xdr:rowOff>
    </xdr:from>
    <xdr:to>
      <xdr:col>7</xdr:col>
      <xdr:colOff>1190625</xdr:colOff>
      <xdr:row>45</xdr:row>
      <xdr:rowOff>114300</xdr:rowOff>
    </xdr:to>
    <xdr:pic>
      <xdr:nvPicPr>
        <xdr:cNvPr id="46715" name="Immagine 1">
          <a:extLst>
            <a:ext uri="{FF2B5EF4-FFF2-40B4-BE49-F238E27FC236}">
              <a16:creationId xmlns:a16="http://schemas.microsoft.com/office/drawing/2014/main" id="{00000000-0008-0000-0000-00007BB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09800"/>
          <a:ext cx="4829175" cy="483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0.39754</cdr:x>
      <cdr:y>0.58919</cdr:y>
    </cdr:from>
    <cdr:to>
      <cdr:x>0.4169</cdr:x>
      <cdr:y>0.60572</cdr:y>
    </cdr:to>
    <cdr:sp macro="" textlink="">
      <cdr:nvSpPr>
        <cdr:cNvPr id="4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742" y="435300"/>
          <a:ext cx="14200" cy="12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CH" sz="1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4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95475" cy="332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CH" sz="100" b="1" i="0" u="none" strike="noStrike" baseline="0">
              <a:solidFill>
                <a:srgbClr val="000000"/>
              </a:solidFill>
              <a:latin typeface="Arial"/>
              <a:cs typeface="Arial"/>
            </a:rPr>
            <a:t>Speed vs time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0.48999</cdr:x>
      <cdr:y>0.36469</cdr:y>
    </cdr:from>
    <cdr:to>
      <cdr:x>0.49434</cdr:x>
      <cdr:y>0.37166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2548" y="270651"/>
          <a:ext cx="3191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CH" sz="129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</cdr:x>
      <cdr:y>0.06494</cdr:y>
    </cdr:from>
    <cdr:to>
      <cdr:x>1</cdr:x>
      <cdr:y>0.27268</cdr:y>
    </cdr:to>
    <cdr:sp macro="" textlink="">
      <cdr:nvSpPr>
        <cdr:cNvPr id="48130" name="Text Box 2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146048" y="50800"/>
          <a:ext cx="752408" cy="152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Force vs time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3</xdr:row>
      <xdr:rowOff>104775</xdr:rowOff>
    </xdr:from>
    <xdr:to>
      <xdr:col>9</xdr:col>
      <xdr:colOff>9525</xdr:colOff>
      <xdr:row>27</xdr:row>
      <xdr:rowOff>95250</xdr:rowOff>
    </xdr:to>
    <xdr:graphicFrame macro="">
      <xdr:nvGraphicFramePr>
        <xdr:cNvPr id="1632" name="Chart 73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47625</xdr:rowOff>
    </xdr:from>
    <xdr:to>
      <xdr:col>8</xdr:col>
      <xdr:colOff>0</xdr:colOff>
      <xdr:row>6</xdr:row>
      <xdr:rowOff>28575</xdr:rowOff>
    </xdr:to>
    <xdr:sp macro="" textlink="">
      <xdr:nvSpPr>
        <xdr:cNvPr id="1163" name="Text Box 139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5410200" y="781050"/>
          <a:ext cx="0" cy="142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8</xdr:col>
      <xdr:colOff>0</xdr:colOff>
      <xdr:row>5</xdr:row>
      <xdr:rowOff>114300</xdr:rowOff>
    </xdr:from>
    <xdr:to>
      <xdr:col>8</xdr:col>
      <xdr:colOff>0</xdr:colOff>
      <xdr:row>7</xdr:row>
      <xdr:rowOff>9525</xdr:rowOff>
    </xdr:to>
    <xdr:sp macro="" textlink="">
      <xdr:nvSpPr>
        <xdr:cNvPr id="1164" name="Text Box 140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5410200" y="847725"/>
          <a:ext cx="0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Trapezoidal Profil</a:t>
          </a:r>
        </a:p>
      </xdr:txBody>
    </xdr:sp>
    <xdr:clientData/>
  </xdr:twoCellAnchor>
  <xdr:twoCellAnchor>
    <xdr:from>
      <xdr:col>7</xdr:col>
      <xdr:colOff>419100</xdr:colOff>
      <xdr:row>54</xdr:row>
      <xdr:rowOff>66675</xdr:rowOff>
    </xdr:from>
    <xdr:to>
      <xdr:col>9</xdr:col>
      <xdr:colOff>19050</xdr:colOff>
      <xdr:row>81</xdr:row>
      <xdr:rowOff>142875</xdr:rowOff>
    </xdr:to>
    <xdr:graphicFrame macro="">
      <xdr:nvGraphicFramePr>
        <xdr:cNvPr id="1635" name="Chart 142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1609725</xdr:colOff>
      <xdr:row>83</xdr:row>
      <xdr:rowOff>28575</xdr:rowOff>
    </xdr:from>
    <xdr:to>
      <xdr:col>8</xdr:col>
      <xdr:colOff>2066925</xdr:colOff>
      <xdr:row>84</xdr:row>
      <xdr:rowOff>9525</xdr:rowOff>
    </xdr:to>
    <xdr:sp macro="" textlink="">
      <xdr:nvSpPr>
        <xdr:cNvPr id="1175" name="Rectangle 151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rrowheads="1"/>
        </xdr:cNvSpPr>
      </xdr:nvSpPr>
      <xdr:spPr bwMode="auto">
        <a:xfrm>
          <a:off x="7019925" y="12715875"/>
          <a:ext cx="457200" cy="142875"/>
        </a:xfrm>
        <a:prstGeom prst="rect">
          <a:avLst/>
        </a:prstGeom>
        <a:solidFill>
          <a:srgbClr val="FFFF99"/>
        </a:solidFill>
        <a:ln w="317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it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Info label</a:t>
          </a:r>
        </a:p>
      </xdr:txBody>
    </xdr:sp>
    <xdr:clientData/>
  </xdr:twoCellAnchor>
  <xdr:twoCellAnchor>
    <xdr:from>
      <xdr:col>7</xdr:col>
      <xdr:colOff>409575</xdr:colOff>
      <xdr:row>28</xdr:row>
      <xdr:rowOff>123825</xdr:rowOff>
    </xdr:from>
    <xdr:to>
      <xdr:col>9</xdr:col>
      <xdr:colOff>0</xdr:colOff>
      <xdr:row>53</xdr:row>
      <xdr:rowOff>57150</xdr:rowOff>
    </xdr:to>
    <xdr:graphicFrame macro="">
      <xdr:nvGraphicFramePr>
        <xdr:cNvPr id="1638" name="Chart 202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8</xdr:col>
      <xdr:colOff>2276475</xdr:colOff>
      <xdr:row>1</xdr:row>
      <xdr:rowOff>104775</xdr:rowOff>
    </xdr:from>
    <xdr:to>
      <xdr:col>8</xdr:col>
      <xdr:colOff>5295900</xdr:colOff>
      <xdr:row>3</xdr:row>
      <xdr:rowOff>57150</xdr:rowOff>
    </xdr:to>
    <xdr:pic>
      <xdr:nvPicPr>
        <xdr:cNvPr id="1639" name="Picture 20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247650"/>
          <a:ext cx="30194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83</xdr:row>
      <xdr:rowOff>38100</xdr:rowOff>
    </xdr:from>
    <xdr:to>
      <xdr:col>3</xdr:col>
      <xdr:colOff>1771650</xdr:colOff>
      <xdr:row>84</xdr:row>
      <xdr:rowOff>9525</xdr:rowOff>
    </xdr:to>
    <xdr:pic>
      <xdr:nvPicPr>
        <xdr:cNvPr id="1640" name="Picture 205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2725400"/>
          <a:ext cx="17907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0.39847</cdr:x>
      <cdr:y>0.39292</cdr:y>
    </cdr:from>
    <cdr:to>
      <cdr:x>0.41937</cdr:x>
      <cdr:y>0.42261</cdr:y>
    </cdr:to>
    <cdr:sp macro="" textlink="">
      <cdr:nvSpPr>
        <cdr:cNvPr id="194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3080" y="1414987"/>
          <a:ext cx="119420" cy="106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CH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0.08971</cdr:x>
      <cdr:y>0.92273</cdr:y>
    </cdr:from>
    <cdr:to>
      <cdr:x>0.21318</cdr:x>
      <cdr:y>0.9616</cdr:y>
    </cdr:to>
    <cdr:sp macro="" textlink="">
      <cdr:nvSpPr>
        <cdr:cNvPr id="1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801" y="3347001"/>
          <a:ext cx="708527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Speed vs time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0.46485</cdr:x>
      <cdr:y>0.54495</cdr:y>
    </cdr:from>
    <cdr:to>
      <cdr:x>0.46853</cdr:x>
      <cdr:y>0.58112</cdr:y>
    </cdr:to>
    <cdr:sp macro="" textlink="">
      <cdr:nvSpPr>
        <cdr:cNvPr id="3585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4332" y="2291254"/>
          <a:ext cx="19769" cy="150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it-CH" sz="129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0.06459</cdr:x>
      <cdr:y>0.91219</cdr:y>
    </cdr:from>
    <cdr:to>
      <cdr:x>0.23595</cdr:x>
      <cdr:y>0.96936</cdr:y>
    </cdr:to>
    <cdr:sp macro="" textlink="">
      <cdr:nvSpPr>
        <cdr:cNvPr id="35854" name="Text Box 14"/>
        <cdr:cNvSpPr txBox="1">
          <a:spLocks xmlns:a="http://schemas.openxmlformats.org/drawingml/2006/main" noChangeAspect="1" noChangeArrowheads="1"/>
        </cdr:cNvSpPr>
      </cdr:nvSpPr>
      <cdr:spPr bwMode="auto">
        <a:xfrm xmlns:a="http://schemas.openxmlformats.org/drawingml/2006/main">
          <a:off x="393936" y="3825600"/>
          <a:ext cx="981396" cy="2473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Force vs time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0.07148</cdr:x>
      <cdr:y>0.89742</cdr:y>
    </cdr:from>
    <cdr:to>
      <cdr:x>0.24628</cdr:x>
      <cdr:y>0.95932</cdr:y>
    </cdr:to>
    <cdr:sp macro="" textlink="">
      <cdr:nvSpPr>
        <cdr:cNvPr id="1105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062" y="3371382"/>
          <a:ext cx="999753" cy="2383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t-CH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Space  vs 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\Info\DOCUME~1\FROEHL~1\IMPOST~1\Temp\notes2EA916\Mot_lin_1240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mensions"/>
      <sheetName val="Caractéristiques élect. + ther."/>
    </sheetNames>
    <sheetDataSet>
      <sheetData sheetId="0">
        <row r="28">
          <cell r="C28">
            <v>6.3500000000000006E-3</v>
          </cell>
        </row>
        <row r="41">
          <cell r="C41">
            <v>6.9000000000000006E-2</v>
          </cell>
        </row>
        <row r="70">
          <cell r="C70">
            <v>1.2E-2</v>
          </cell>
        </row>
        <row r="75">
          <cell r="C75">
            <v>4.0000000000000008E-2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Q110"/>
  <sheetViews>
    <sheetView showGridLines="0" showRowColHeaders="0" zoomScaleNormal="100" workbookViewId="0">
      <selection activeCell="N9" sqref="N9"/>
    </sheetView>
  </sheetViews>
  <sheetFormatPr defaultColWidth="8.85546875" defaultRowHeight="12.75" customHeight="1"/>
  <cols>
    <col min="1" max="2" width="2.140625" style="22" customWidth="1"/>
    <col min="3" max="3" width="32.85546875" style="23" customWidth="1"/>
    <col min="4" max="4" width="5.42578125" style="23" customWidth="1"/>
    <col min="5" max="5" width="7.42578125" style="23" customWidth="1"/>
    <col min="6" max="6" width="6.85546875" style="20" customWidth="1"/>
    <col min="7" max="7" width="2.140625" style="28" customWidth="1"/>
    <col min="8" max="8" width="94.85546875" style="21" customWidth="1"/>
    <col min="9" max="9" width="2.140625" style="21" customWidth="1"/>
    <col min="10" max="15" width="8.85546875" style="21" customWidth="1"/>
    <col min="16" max="16" width="2" style="21" customWidth="1"/>
    <col min="17" max="16384" width="8.85546875" style="21"/>
  </cols>
  <sheetData>
    <row r="1" spans="1:10" s="19" customFormat="1" ht="12" customHeight="1" thickBot="1">
      <c r="A1" s="105"/>
      <c r="B1" s="105"/>
      <c r="D1" s="18"/>
      <c r="E1" s="18"/>
      <c r="F1" s="18"/>
      <c r="G1" s="24"/>
      <c r="H1" s="28"/>
      <c r="I1" s="22"/>
    </row>
    <row r="2" spans="1:10" s="6" customFormat="1" ht="12.75" customHeight="1" thickTop="1">
      <c r="A2" s="106"/>
      <c r="B2" s="107"/>
      <c r="C2" s="46"/>
      <c r="D2" s="47"/>
      <c r="E2" s="47"/>
      <c r="F2" s="47"/>
      <c r="G2" s="48"/>
      <c r="H2" s="35"/>
      <c r="I2" s="59"/>
      <c r="J2" s="103"/>
    </row>
    <row r="3" spans="1:10" s="8" customFormat="1" ht="12.75" customHeight="1">
      <c r="A3" s="105"/>
      <c r="B3" s="108"/>
      <c r="C3" s="111" t="s">
        <v>182</v>
      </c>
      <c r="D3" s="28"/>
      <c r="E3" s="28"/>
      <c r="F3" s="28"/>
      <c r="G3" s="7"/>
      <c r="H3" s="25"/>
      <c r="I3" s="60"/>
      <c r="J3" s="103"/>
    </row>
    <row r="4" spans="1:10" s="15" customFormat="1" ht="12.75" customHeight="1">
      <c r="A4" s="105"/>
      <c r="B4" s="108"/>
      <c r="C4" s="28"/>
      <c r="D4" s="28"/>
      <c r="E4" s="28"/>
      <c r="F4" s="28"/>
      <c r="G4" s="16"/>
      <c r="H4" s="20"/>
      <c r="I4" s="60"/>
    </row>
    <row r="5" spans="1:10" s="10" customFormat="1" ht="12.75" customHeight="1">
      <c r="A5" s="105"/>
      <c r="B5" s="108"/>
      <c r="C5" s="28"/>
      <c r="D5" s="28"/>
      <c r="E5" s="28"/>
      <c r="F5" s="28"/>
      <c r="G5" s="26"/>
      <c r="H5" s="20"/>
      <c r="I5" s="61"/>
    </row>
    <row r="6" spans="1:10" s="10" customFormat="1" ht="12.75" customHeight="1">
      <c r="A6" s="109"/>
      <c r="B6" s="37"/>
      <c r="C6" s="28"/>
      <c r="D6" s="28"/>
      <c r="E6" s="28"/>
      <c r="F6" s="28"/>
      <c r="G6" s="26"/>
      <c r="H6" s="20"/>
      <c r="I6" s="57"/>
    </row>
    <row r="7" spans="1:10" s="10" customFormat="1" ht="12" customHeight="1">
      <c r="A7" s="105"/>
      <c r="B7" s="108"/>
      <c r="C7" s="28"/>
      <c r="D7" s="28"/>
      <c r="E7" s="28"/>
      <c r="F7" s="28"/>
      <c r="G7" s="26"/>
      <c r="H7" s="20"/>
      <c r="I7" s="56"/>
    </row>
    <row r="8" spans="1:10" s="10" customFormat="1" ht="12" customHeight="1">
      <c r="A8" s="105"/>
      <c r="B8" s="108"/>
      <c r="C8" s="28"/>
      <c r="D8" s="28"/>
      <c r="E8" s="28"/>
      <c r="F8" s="28"/>
      <c r="G8" s="26"/>
      <c r="H8" s="20"/>
      <c r="I8" s="56"/>
    </row>
    <row r="9" spans="1:10" s="10" customFormat="1" ht="12" customHeight="1">
      <c r="A9" s="105"/>
      <c r="B9" s="108"/>
      <c r="C9" s="28"/>
      <c r="D9" s="28"/>
      <c r="E9" s="28"/>
      <c r="F9" s="28"/>
      <c r="G9" s="26"/>
      <c r="H9" s="20"/>
      <c r="I9" s="56"/>
    </row>
    <row r="10" spans="1:10" s="10" customFormat="1" ht="12" customHeight="1">
      <c r="A10" s="105"/>
      <c r="B10" s="108"/>
      <c r="C10" s="28"/>
      <c r="D10" s="28"/>
      <c r="E10" s="28"/>
      <c r="F10" s="28"/>
      <c r="G10" s="26"/>
      <c r="H10" s="20"/>
      <c r="I10" s="56"/>
    </row>
    <row r="11" spans="1:10" s="10" customFormat="1" ht="12" customHeight="1">
      <c r="A11" s="105"/>
      <c r="B11" s="108"/>
      <c r="C11" s="28"/>
      <c r="D11" s="28"/>
      <c r="E11" s="28"/>
      <c r="F11" s="28"/>
      <c r="G11" s="26"/>
      <c r="H11" s="20"/>
      <c r="I11" s="56"/>
    </row>
    <row r="12" spans="1:10" s="10" customFormat="1" ht="12" customHeight="1">
      <c r="A12" s="105"/>
      <c r="B12" s="108"/>
      <c r="C12" s="28"/>
      <c r="D12" s="28"/>
      <c r="E12" s="28"/>
      <c r="F12" s="28"/>
      <c r="G12" s="26"/>
      <c r="H12" s="20"/>
      <c r="I12" s="56"/>
    </row>
    <row r="13" spans="1:10" s="10" customFormat="1" ht="12" customHeight="1">
      <c r="A13" s="105"/>
      <c r="B13" s="108"/>
      <c r="C13" s="28"/>
      <c r="D13" s="28"/>
      <c r="E13" s="28"/>
      <c r="F13" s="28"/>
      <c r="G13" s="26"/>
      <c r="H13" s="20"/>
      <c r="I13" s="56"/>
    </row>
    <row r="14" spans="1:10" s="10" customFormat="1" ht="12" customHeight="1">
      <c r="A14" s="105"/>
      <c r="B14" s="108"/>
      <c r="C14" s="28"/>
      <c r="D14" s="28"/>
      <c r="E14" s="28"/>
      <c r="F14" s="28"/>
      <c r="G14" s="26"/>
      <c r="H14" s="20"/>
      <c r="I14" s="56"/>
    </row>
    <row r="15" spans="1:10" s="10" customFormat="1" ht="12" customHeight="1">
      <c r="A15" s="105"/>
      <c r="B15" s="108"/>
      <c r="C15" s="28"/>
      <c r="D15" s="28"/>
      <c r="E15" s="28"/>
      <c r="F15" s="28"/>
      <c r="G15" s="26"/>
      <c r="H15" s="20"/>
      <c r="I15" s="56"/>
      <c r="J15" s="103"/>
    </row>
    <row r="16" spans="1:10" s="13" customFormat="1" ht="12" customHeight="1">
      <c r="A16" s="105"/>
      <c r="B16" s="108"/>
      <c r="C16" s="28"/>
      <c r="D16" s="28"/>
      <c r="E16" s="28"/>
      <c r="F16" s="28"/>
      <c r="G16" s="27"/>
      <c r="H16" s="20"/>
      <c r="I16" s="56"/>
      <c r="J16" s="103"/>
    </row>
    <row r="17" spans="1:10" ht="12" customHeight="1">
      <c r="A17" s="105"/>
      <c r="B17" s="108"/>
      <c r="C17" s="28"/>
      <c r="D17" s="28"/>
      <c r="E17" s="28"/>
      <c r="F17" s="28"/>
      <c r="H17" s="20"/>
      <c r="I17" s="56"/>
    </row>
    <row r="18" spans="1:10" s="15" customFormat="1" ht="12" customHeight="1">
      <c r="A18" s="105"/>
      <c r="B18" s="108"/>
      <c r="C18" s="28"/>
      <c r="D18" s="28"/>
      <c r="E18" s="28"/>
      <c r="F18" s="28"/>
      <c r="G18" s="16"/>
      <c r="H18" s="20"/>
      <c r="I18" s="56"/>
    </row>
    <row r="19" spans="1:10" ht="12" customHeight="1">
      <c r="A19" s="105"/>
      <c r="B19" s="108"/>
      <c r="C19" s="28"/>
      <c r="D19" s="28"/>
      <c r="E19" s="28"/>
      <c r="F19" s="28"/>
      <c r="H19" s="20"/>
      <c r="I19" s="56"/>
    </row>
    <row r="20" spans="1:10" ht="12" customHeight="1">
      <c r="A20" s="105"/>
      <c r="B20" s="108"/>
      <c r="C20" s="28"/>
      <c r="D20" s="28"/>
      <c r="E20" s="28"/>
      <c r="F20" s="28"/>
      <c r="H20" s="20"/>
      <c r="I20" s="56"/>
    </row>
    <row r="21" spans="1:10" ht="12" customHeight="1">
      <c r="A21" s="109"/>
      <c r="B21" s="108"/>
      <c r="C21" s="28"/>
      <c r="D21" s="28"/>
      <c r="E21" s="28"/>
      <c r="F21" s="28"/>
      <c r="H21" s="20"/>
      <c r="I21" s="56"/>
    </row>
    <row r="22" spans="1:10" ht="12" customHeight="1">
      <c r="A22" s="105"/>
      <c r="B22" s="108"/>
      <c r="C22" s="28"/>
      <c r="D22" s="28"/>
      <c r="E22" s="28"/>
      <c r="F22" s="28"/>
      <c r="H22" s="20"/>
      <c r="I22" s="56"/>
    </row>
    <row r="23" spans="1:10" ht="12.75" customHeight="1">
      <c r="A23" s="105"/>
      <c r="B23" s="108"/>
      <c r="C23" s="28"/>
      <c r="D23" s="28"/>
      <c r="E23" s="28"/>
      <c r="F23" s="28"/>
      <c r="H23" s="20"/>
      <c r="I23" s="56"/>
    </row>
    <row r="24" spans="1:10" ht="12.75" customHeight="1">
      <c r="A24" s="105"/>
      <c r="B24" s="108"/>
      <c r="C24" s="28"/>
      <c r="D24" s="28"/>
      <c r="E24" s="28"/>
      <c r="F24" s="28"/>
      <c r="H24" s="20"/>
      <c r="I24" s="57"/>
      <c r="J24" s="103"/>
    </row>
    <row r="25" spans="1:10" ht="12.75" customHeight="1">
      <c r="A25" s="105"/>
      <c r="B25" s="37"/>
      <c r="C25" s="28"/>
      <c r="D25" s="28"/>
      <c r="E25" s="28"/>
      <c r="F25" s="28"/>
      <c r="H25" s="20"/>
      <c r="I25" s="41"/>
      <c r="J25" s="103"/>
    </row>
    <row r="26" spans="1:10" ht="12" customHeight="1">
      <c r="A26" s="105"/>
      <c r="B26" s="108"/>
      <c r="C26" s="28"/>
      <c r="D26" s="28"/>
      <c r="E26" s="28"/>
      <c r="F26" s="28"/>
      <c r="H26" s="20"/>
      <c r="I26" s="41"/>
    </row>
    <row r="27" spans="1:10" ht="12" customHeight="1">
      <c r="A27" s="105"/>
      <c r="B27" s="108"/>
      <c r="C27" s="28"/>
      <c r="D27" s="28"/>
      <c r="E27" s="28"/>
      <c r="F27" s="28"/>
      <c r="H27" s="20"/>
      <c r="I27" s="41"/>
    </row>
    <row r="28" spans="1:10" ht="12" customHeight="1">
      <c r="A28" s="105"/>
      <c r="B28" s="108"/>
      <c r="C28" s="28"/>
      <c r="D28" s="28"/>
      <c r="E28" s="28"/>
      <c r="F28" s="28"/>
      <c r="H28" s="20"/>
      <c r="I28" s="41"/>
    </row>
    <row r="29" spans="1:10" ht="12" customHeight="1">
      <c r="A29" s="105"/>
      <c r="B29" s="108"/>
      <c r="C29" s="28"/>
      <c r="D29" s="28"/>
      <c r="E29" s="28"/>
      <c r="F29" s="28"/>
      <c r="H29" s="20"/>
      <c r="I29" s="41"/>
    </row>
    <row r="30" spans="1:10" ht="12" customHeight="1">
      <c r="A30" s="105"/>
      <c r="B30" s="108"/>
      <c r="C30" s="20"/>
      <c r="D30" s="20"/>
      <c r="E30" s="20"/>
      <c r="G30" s="20"/>
      <c r="H30" s="20"/>
      <c r="I30" s="41"/>
    </row>
    <row r="31" spans="1:10" ht="12" customHeight="1">
      <c r="A31" s="105"/>
      <c r="B31" s="108"/>
      <c r="C31" s="20"/>
      <c r="D31" s="20"/>
      <c r="E31" s="20"/>
      <c r="G31" s="20"/>
      <c r="H31" s="22"/>
      <c r="I31" s="41"/>
    </row>
    <row r="32" spans="1:10" ht="12" customHeight="1">
      <c r="A32" s="105"/>
      <c r="B32" s="108"/>
      <c r="C32" s="20"/>
      <c r="D32" s="20"/>
      <c r="E32" s="20"/>
      <c r="H32" s="22"/>
      <c r="I32" s="41"/>
    </row>
    <row r="33" spans="1:9" s="22" customFormat="1" ht="12" customHeight="1">
      <c r="A33" s="105"/>
      <c r="B33" s="108"/>
      <c r="C33" s="20"/>
      <c r="D33" s="20"/>
      <c r="E33" s="20"/>
      <c r="F33" s="20"/>
      <c r="G33" s="28"/>
      <c r="I33" s="41"/>
    </row>
    <row r="34" spans="1:9" s="22" customFormat="1" ht="12" customHeight="1">
      <c r="A34" s="105"/>
      <c r="B34" s="108"/>
      <c r="C34" s="20"/>
      <c r="D34" s="20"/>
      <c r="E34" s="20"/>
      <c r="F34" s="20"/>
      <c r="G34" s="28"/>
      <c r="I34" s="41"/>
    </row>
    <row r="35" spans="1:9" s="22" customFormat="1" ht="12" customHeight="1">
      <c r="A35" s="105"/>
      <c r="B35" s="108"/>
      <c r="C35" s="20"/>
      <c r="D35" s="20"/>
      <c r="E35" s="20"/>
      <c r="F35" s="20"/>
      <c r="G35" s="28"/>
      <c r="I35" s="41"/>
    </row>
    <row r="36" spans="1:9" s="22" customFormat="1" ht="12" customHeight="1">
      <c r="A36" s="105"/>
      <c r="B36" s="108"/>
      <c r="C36" s="20"/>
      <c r="D36" s="20"/>
      <c r="E36" s="20"/>
      <c r="F36" s="20"/>
      <c r="G36" s="28"/>
      <c r="I36" s="41"/>
    </row>
    <row r="37" spans="1:9" s="22" customFormat="1" ht="12" customHeight="1">
      <c r="A37" s="105"/>
      <c r="B37" s="108"/>
      <c r="C37" s="20"/>
      <c r="D37" s="20"/>
      <c r="E37" s="20"/>
      <c r="F37" s="20"/>
      <c r="G37" s="28"/>
      <c r="I37" s="41"/>
    </row>
    <row r="38" spans="1:9" s="22" customFormat="1" ht="12" customHeight="1">
      <c r="A38" s="105"/>
      <c r="B38" s="108"/>
      <c r="C38" s="20"/>
      <c r="D38" s="20"/>
      <c r="E38" s="20"/>
      <c r="F38" s="20"/>
      <c r="G38" s="28"/>
      <c r="I38" s="41"/>
    </row>
    <row r="39" spans="1:9" s="22" customFormat="1" ht="12" customHeight="1">
      <c r="A39" s="105"/>
      <c r="B39" s="108"/>
      <c r="C39" s="20"/>
      <c r="D39" s="20"/>
      <c r="E39" s="20"/>
      <c r="F39" s="20"/>
      <c r="G39" s="28"/>
      <c r="I39" s="41"/>
    </row>
    <row r="40" spans="1:9" s="22" customFormat="1" ht="12" customHeight="1">
      <c r="A40" s="105"/>
      <c r="B40" s="108"/>
      <c r="C40" s="20"/>
      <c r="D40" s="20"/>
      <c r="E40" s="20"/>
      <c r="F40" s="20"/>
      <c r="G40" s="28"/>
      <c r="I40" s="41"/>
    </row>
    <row r="41" spans="1:9" s="22" customFormat="1" ht="12" customHeight="1">
      <c r="A41" s="105"/>
      <c r="B41" s="108"/>
      <c r="C41" s="20"/>
      <c r="D41" s="20"/>
      <c r="E41" s="20"/>
      <c r="F41" s="20"/>
      <c r="G41" s="28"/>
      <c r="I41" s="41"/>
    </row>
    <row r="42" spans="1:9" s="22" customFormat="1" ht="12" customHeight="1">
      <c r="A42" s="105"/>
      <c r="B42" s="108"/>
      <c r="C42" s="30"/>
      <c r="D42" s="30"/>
      <c r="E42" s="30"/>
      <c r="F42" s="30"/>
      <c r="G42" s="31"/>
      <c r="H42" s="29"/>
      <c r="I42" s="41"/>
    </row>
    <row r="43" spans="1:9" s="22" customFormat="1" ht="12" customHeight="1">
      <c r="A43" s="105"/>
      <c r="B43" s="108"/>
      <c r="C43" s="20"/>
      <c r="D43" s="20"/>
      <c r="E43" s="20"/>
      <c r="F43" s="20"/>
      <c r="G43" s="28"/>
      <c r="I43" s="41"/>
    </row>
    <row r="44" spans="1:9" s="22" customFormat="1" ht="12" customHeight="1">
      <c r="A44" s="105"/>
      <c r="B44" s="108"/>
      <c r="C44" s="20"/>
      <c r="D44" s="20"/>
      <c r="E44" s="20"/>
      <c r="F44" s="20"/>
      <c r="G44" s="28"/>
      <c r="I44" s="41"/>
    </row>
    <row r="45" spans="1:9" s="22" customFormat="1" ht="12" customHeight="1">
      <c r="A45" s="105"/>
      <c r="B45" s="108"/>
      <c r="C45" s="20"/>
      <c r="D45" s="20"/>
      <c r="E45" s="20"/>
      <c r="F45" s="20"/>
      <c r="G45" s="28"/>
      <c r="I45" s="41"/>
    </row>
    <row r="46" spans="1:9" s="22" customFormat="1" ht="12" customHeight="1">
      <c r="A46" s="105"/>
      <c r="B46" s="108"/>
      <c r="C46" s="20"/>
      <c r="D46" s="20"/>
      <c r="E46" s="20"/>
      <c r="F46" s="20"/>
      <c r="G46" s="28"/>
      <c r="I46" s="41"/>
    </row>
    <row r="47" spans="1:9" s="22" customFormat="1" ht="12.75" customHeight="1">
      <c r="A47" s="105"/>
      <c r="B47" s="108"/>
      <c r="C47" s="20"/>
      <c r="D47" s="20"/>
      <c r="E47" s="20"/>
      <c r="F47" s="20"/>
      <c r="G47" s="28"/>
      <c r="I47" s="41"/>
    </row>
    <row r="48" spans="1:9" s="22" customFormat="1" ht="12.75" customHeight="1">
      <c r="A48" s="105"/>
      <c r="B48" s="108"/>
      <c r="C48" s="20"/>
      <c r="D48" s="20"/>
      <c r="E48" s="20"/>
      <c r="F48" s="20"/>
      <c r="G48" s="28"/>
      <c r="I48" s="41"/>
    </row>
    <row r="49" spans="1:17" s="29" customFormat="1" ht="12.75" customHeight="1" thickBot="1">
      <c r="A49" s="105"/>
      <c r="B49" s="110"/>
      <c r="C49" s="43"/>
      <c r="D49" s="43"/>
      <c r="E49" s="43"/>
      <c r="F49" s="43"/>
      <c r="G49" s="43"/>
      <c r="H49" s="43"/>
      <c r="I49" s="45"/>
      <c r="J49" s="20"/>
      <c r="K49" s="20"/>
      <c r="L49" s="20"/>
      <c r="M49" s="20"/>
      <c r="N49" s="20"/>
      <c r="O49" s="20"/>
      <c r="P49" s="20"/>
      <c r="Q49" s="20"/>
    </row>
    <row r="50" spans="1:17" s="22" customFormat="1" ht="12.75" customHeight="1" thickTop="1">
      <c r="C50" s="20"/>
      <c r="D50" s="20"/>
      <c r="E50" s="20"/>
      <c r="F50" s="20"/>
      <c r="G50" s="28"/>
    </row>
    <row r="51" spans="1:17" s="22" customFormat="1" ht="12.75" customHeight="1">
      <c r="C51" s="20"/>
      <c r="D51" s="20"/>
      <c r="E51" s="20"/>
      <c r="F51" s="20"/>
      <c r="G51" s="28"/>
    </row>
    <row r="52" spans="1:17" s="22" customFormat="1" ht="12.75" customHeight="1">
      <c r="C52" s="20"/>
      <c r="D52" s="20"/>
      <c r="E52" s="20"/>
      <c r="F52" s="20"/>
      <c r="G52" s="28"/>
    </row>
    <row r="53" spans="1:17" s="22" customFormat="1" ht="12.75" customHeight="1">
      <c r="C53" s="20"/>
      <c r="D53" s="20"/>
      <c r="E53" s="20"/>
      <c r="F53" s="20"/>
      <c r="G53" s="28"/>
    </row>
    <row r="54" spans="1:17" s="22" customFormat="1" ht="12.75" customHeight="1">
      <c r="C54" s="20"/>
      <c r="D54" s="20"/>
      <c r="E54" s="20"/>
      <c r="F54" s="20"/>
      <c r="G54" s="28"/>
    </row>
    <row r="55" spans="1:17" s="22" customFormat="1" ht="12.75" customHeight="1">
      <c r="C55" s="20"/>
      <c r="D55" s="20"/>
      <c r="E55" s="20"/>
      <c r="F55" s="20"/>
      <c r="G55" s="28"/>
    </row>
    <row r="56" spans="1:17" s="22" customFormat="1" ht="12.75" customHeight="1">
      <c r="C56" s="20"/>
      <c r="D56" s="20"/>
      <c r="E56" s="20"/>
      <c r="F56" s="20"/>
      <c r="G56" s="28"/>
    </row>
    <row r="57" spans="1:17" s="22" customFormat="1" ht="12.75" customHeight="1">
      <c r="C57" s="20"/>
      <c r="D57" s="20"/>
      <c r="E57" s="20"/>
      <c r="F57" s="20"/>
      <c r="G57" s="28"/>
    </row>
    <row r="58" spans="1:17" s="22" customFormat="1" ht="12.75" customHeight="1">
      <c r="C58" s="20"/>
      <c r="D58" s="20"/>
      <c r="E58" s="20"/>
      <c r="F58" s="20"/>
      <c r="G58" s="28"/>
    </row>
    <row r="59" spans="1:17" s="22" customFormat="1" ht="12.75" customHeight="1">
      <c r="C59" s="20"/>
      <c r="D59" s="20"/>
      <c r="E59" s="20"/>
      <c r="F59" s="20"/>
      <c r="G59" s="28"/>
    </row>
    <row r="60" spans="1:17" s="22" customFormat="1" ht="12.75" customHeight="1">
      <c r="C60" s="20"/>
      <c r="D60" s="20"/>
      <c r="E60" s="20"/>
      <c r="F60" s="20"/>
      <c r="G60" s="28"/>
    </row>
    <row r="61" spans="1:17" s="22" customFormat="1" ht="12.75" customHeight="1">
      <c r="C61" s="20"/>
      <c r="D61" s="20"/>
      <c r="E61" s="20"/>
      <c r="F61" s="20"/>
      <c r="G61" s="28"/>
    </row>
    <row r="62" spans="1:17" s="22" customFormat="1" ht="12.75" customHeight="1">
      <c r="C62" s="20"/>
      <c r="D62" s="20"/>
      <c r="E62" s="20"/>
      <c r="F62" s="20"/>
      <c r="G62" s="28"/>
    </row>
    <row r="63" spans="1:17" s="22" customFormat="1" ht="12.75" customHeight="1">
      <c r="C63" s="20"/>
      <c r="D63" s="20"/>
      <c r="E63" s="20"/>
      <c r="F63" s="20"/>
      <c r="G63" s="28"/>
    </row>
    <row r="64" spans="1:17" s="22" customFormat="1" ht="12.75" customHeight="1">
      <c r="C64" s="20"/>
      <c r="D64" s="20"/>
      <c r="E64" s="20"/>
      <c r="F64" s="20"/>
      <c r="G64" s="28"/>
    </row>
    <row r="65" spans="3:7" s="22" customFormat="1" ht="12.75" customHeight="1">
      <c r="C65" s="20"/>
      <c r="D65" s="20"/>
      <c r="E65" s="20"/>
      <c r="F65" s="20"/>
      <c r="G65" s="28"/>
    </row>
    <row r="66" spans="3:7" s="22" customFormat="1" ht="12.75" customHeight="1">
      <c r="C66" s="20"/>
      <c r="D66" s="20"/>
      <c r="E66" s="20"/>
      <c r="F66" s="20"/>
      <c r="G66" s="28"/>
    </row>
    <row r="67" spans="3:7" s="22" customFormat="1" ht="12.75" customHeight="1">
      <c r="C67" s="20"/>
      <c r="D67" s="20"/>
      <c r="E67" s="20"/>
      <c r="F67" s="20"/>
      <c r="G67" s="28"/>
    </row>
    <row r="68" spans="3:7" s="22" customFormat="1" ht="12.75" customHeight="1">
      <c r="C68" s="20"/>
      <c r="D68" s="20"/>
      <c r="E68" s="20"/>
      <c r="F68" s="20"/>
      <c r="G68" s="28"/>
    </row>
    <row r="69" spans="3:7" s="22" customFormat="1" ht="12.75" customHeight="1">
      <c r="C69" s="20"/>
      <c r="D69" s="20"/>
      <c r="E69" s="20"/>
      <c r="F69" s="20"/>
      <c r="G69" s="28"/>
    </row>
    <row r="70" spans="3:7" s="22" customFormat="1" ht="12.75" customHeight="1">
      <c r="C70" s="20"/>
      <c r="D70" s="20"/>
      <c r="E70" s="20"/>
      <c r="F70" s="20"/>
      <c r="G70" s="28"/>
    </row>
    <row r="71" spans="3:7" s="22" customFormat="1" ht="12.75" customHeight="1">
      <c r="C71" s="20"/>
      <c r="D71" s="20"/>
      <c r="E71" s="20"/>
      <c r="F71" s="20"/>
      <c r="G71" s="28"/>
    </row>
    <row r="72" spans="3:7" s="22" customFormat="1" ht="12.75" customHeight="1">
      <c r="C72" s="20"/>
      <c r="D72" s="20"/>
      <c r="E72" s="20"/>
      <c r="F72" s="20"/>
      <c r="G72" s="28"/>
    </row>
    <row r="73" spans="3:7" s="22" customFormat="1" ht="12.75" customHeight="1">
      <c r="C73" s="20"/>
      <c r="D73" s="20"/>
      <c r="E73" s="20"/>
      <c r="F73" s="20"/>
      <c r="G73" s="28"/>
    </row>
    <row r="74" spans="3:7" s="22" customFormat="1" ht="12.75" customHeight="1">
      <c r="C74" s="20"/>
      <c r="D74" s="20"/>
      <c r="E74" s="20"/>
      <c r="F74" s="20"/>
      <c r="G74" s="28"/>
    </row>
    <row r="75" spans="3:7" s="22" customFormat="1" ht="12.75" customHeight="1">
      <c r="C75" s="20"/>
      <c r="D75" s="20"/>
      <c r="E75" s="20"/>
      <c r="F75" s="20"/>
      <c r="G75" s="28"/>
    </row>
    <row r="76" spans="3:7" s="22" customFormat="1" ht="12.75" customHeight="1">
      <c r="C76" s="20"/>
      <c r="D76" s="20"/>
      <c r="E76" s="20"/>
      <c r="F76" s="20"/>
      <c r="G76" s="28"/>
    </row>
    <row r="77" spans="3:7" s="22" customFormat="1" ht="12.75" customHeight="1">
      <c r="C77" s="20"/>
      <c r="D77" s="20"/>
      <c r="E77" s="20"/>
      <c r="F77" s="20"/>
      <c r="G77" s="28"/>
    </row>
    <row r="78" spans="3:7" s="22" customFormat="1" ht="12.75" customHeight="1">
      <c r="C78" s="20"/>
      <c r="D78" s="20"/>
      <c r="E78" s="20"/>
      <c r="F78" s="20"/>
      <c r="G78" s="28"/>
    </row>
    <row r="79" spans="3:7" s="22" customFormat="1" ht="12.75" customHeight="1">
      <c r="C79" s="20"/>
      <c r="D79" s="20"/>
      <c r="E79" s="20"/>
      <c r="F79" s="20"/>
      <c r="G79" s="28"/>
    </row>
    <row r="80" spans="3:7" s="22" customFormat="1" ht="12.75" customHeight="1">
      <c r="C80" s="20"/>
      <c r="D80" s="20"/>
      <c r="E80" s="20"/>
      <c r="F80" s="20"/>
      <c r="G80" s="28"/>
    </row>
    <row r="81" spans="3:7" s="22" customFormat="1" ht="12.75" customHeight="1">
      <c r="C81" s="20"/>
      <c r="D81" s="20"/>
      <c r="E81" s="20"/>
      <c r="F81" s="20"/>
      <c r="G81" s="28"/>
    </row>
    <row r="82" spans="3:7" s="22" customFormat="1" ht="12.75" customHeight="1">
      <c r="C82" s="20"/>
      <c r="D82" s="20"/>
      <c r="E82" s="20"/>
      <c r="F82" s="20"/>
      <c r="G82" s="28"/>
    </row>
    <row r="83" spans="3:7" s="22" customFormat="1" ht="12.75" customHeight="1">
      <c r="C83" s="20"/>
      <c r="D83" s="20"/>
      <c r="E83" s="20"/>
      <c r="F83" s="20"/>
      <c r="G83" s="28"/>
    </row>
    <row r="84" spans="3:7" s="22" customFormat="1" ht="12.75" customHeight="1">
      <c r="C84" s="20"/>
      <c r="D84" s="20"/>
      <c r="E84" s="20"/>
      <c r="F84" s="20"/>
      <c r="G84" s="28"/>
    </row>
    <row r="85" spans="3:7" s="22" customFormat="1" ht="12.75" customHeight="1">
      <c r="C85" s="20"/>
      <c r="D85" s="20"/>
      <c r="E85" s="20"/>
      <c r="F85" s="20"/>
      <c r="G85" s="28"/>
    </row>
    <row r="86" spans="3:7" s="22" customFormat="1" ht="12.75" customHeight="1">
      <c r="C86" s="20"/>
      <c r="D86" s="20"/>
      <c r="E86" s="20"/>
      <c r="F86" s="20"/>
      <c r="G86" s="28"/>
    </row>
    <row r="87" spans="3:7" s="22" customFormat="1" ht="12.75" customHeight="1">
      <c r="C87" s="20"/>
      <c r="D87" s="20"/>
      <c r="E87" s="20"/>
      <c r="F87" s="20"/>
      <c r="G87" s="28"/>
    </row>
    <row r="88" spans="3:7" s="22" customFormat="1" ht="12.75" customHeight="1">
      <c r="C88" s="20"/>
      <c r="D88" s="20"/>
      <c r="E88" s="20"/>
      <c r="F88" s="20"/>
      <c r="G88" s="28"/>
    </row>
    <row r="89" spans="3:7" s="22" customFormat="1" ht="12.75" customHeight="1">
      <c r="C89" s="20"/>
      <c r="D89" s="20"/>
      <c r="E89" s="20"/>
      <c r="F89" s="20"/>
      <c r="G89" s="28"/>
    </row>
    <row r="90" spans="3:7" s="22" customFormat="1" ht="12.75" customHeight="1">
      <c r="C90" s="20"/>
      <c r="D90" s="20"/>
      <c r="E90" s="20"/>
      <c r="F90" s="20"/>
      <c r="G90" s="28"/>
    </row>
    <row r="91" spans="3:7" s="22" customFormat="1" ht="12.75" customHeight="1">
      <c r="C91" s="20"/>
      <c r="D91" s="20"/>
      <c r="E91" s="20"/>
      <c r="F91" s="20"/>
      <c r="G91" s="28"/>
    </row>
    <row r="92" spans="3:7" s="22" customFormat="1" ht="12.75" customHeight="1">
      <c r="C92" s="20"/>
      <c r="D92" s="20"/>
      <c r="E92" s="20"/>
      <c r="F92" s="20"/>
      <c r="G92" s="28"/>
    </row>
    <row r="93" spans="3:7" s="22" customFormat="1" ht="12.75" customHeight="1">
      <c r="C93" s="20"/>
      <c r="D93" s="20"/>
      <c r="E93" s="20"/>
      <c r="F93" s="20"/>
      <c r="G93" s="28"/>
    </row>
    <row r="94" spans="3:7" s="22" customFormat="1" ht="12.75" customHeight="1">
      <c r="C94" s="20"/>
      <c r="D94" s="20"/>
      <c r="E94" s="20"/>
      <c r="F94" s="20"/>
      <c r="G94" s="28"/>
    </row>
    <row r="95" spans="3:7" s="22" customFormat="1" ht="12.75" customHeight="1">
      <c r="C95" s="20"/>
      <c r="D95" s="20"/>
      <c r="E95" s="20"/>
      <c r="F95" s="20"/>
      <c r="G95" s="28"/>
    </row>
    <row r="96" spans="3:7" s="22" customFormat="1" ht="12.75" customHeight="1">
      <c r="C96" s="20"/>
      <c r="D96" s="20"/>
      <c r="E96" s="20"/>
      <c r="F96" s="20"/>
      <c r="G96" s="28"/>
    </row>
    <row r="97" spans="3:9" s="22" customFormat="1" ht="12.75" customHeight="1">
      <c r="C97" s="20"/>
      <c r="D97" s="20"/>
      <c r="E97" s="20"/>
      <c r="F97" s="20"/>
      <c r="G97" s="28"/>
    </row>
    <row r="98" spans="3:9" s="22" customFormat="1" ht="12.75" customHeight="1">
      <c r="C98" s="20"/>
      <c r="D98" s="20"/>
      <c r="E98" s="20"/>
      <c r="F98" s="20"/>
      <c r="G98" s="28"/>
    </row>
    <row r="99" spans="3:9" s="22" customFormat="1" ht="12.75" customHeight="1">
      <c r="C99" s="20"/>
      <c r="D99" s="20"/>
      <c r="E99" s="20"/>
      <c r="F99" s="20"/>
      <c r="G99" s="28"/>
    </row>
    <row r="100" spans="3:9" s="22" customFormat="1" ht="12.75" customHeight="1">
      <c r="C100" s="20"/>
      <c r="D100" s="20"/>
      <c r="E100" s="20"/>
      <c r="F100" s="20"/>
      <c r="G100" s="28"/>
    </row>
    <row r="101" spans="3:9" s="22" customFormat="1" ht="12.75" customHeight="1">
      <c r="C101" s="20"/>
      <c r="D101" s="20"/>
      <c r="E101" s="20"/>
      <c r="F101" s="20"/>
      <c r="G101" s="28"/>
    </row>
    <row r="102" spans="3:9" s="22" customFormat="1" ht="12.75" customHeight="1">
      <c r="C102" s="20"/>
      <c r="D102" s="20"/>
      <c r="E102" s="20"/>
      <c r="F102" s="20"/>
      <c r="G102" s="28"/>
    </row>
    <row r="103" spans="3:9" s="22" customFormat="1" ht="12.75" customHeight="1">
      <c r="C103" s="20"/>
      <c r="D103" s="20"/>
      <c r="E103" s="20"/>
      <c r="F103" s="20"/>
      <c r="G103" s="28"/>
    </row>
    <row r="104" spans="3:9" s="22" customFormat="1" ht="12.75" customHeight="1">
      <c r="C104" s="23"/>
      <c r="D104" s="23"/>
      <c r="E104" s="23"/>
      <c r="F104" s="20"/>
      <c r="G104" s="28"/>
      <c r="H104" s="21"/>
      <c r="I104" s="21"/>
    </row>
    <row r="105" spans="3:9" s="22" customFormat="1" ht="12.75" customHeight="1">
      <c r="C105" s="23"/>
      <c r="D105" s="23"/>
      <c r="E105" s="23"/>
      <c r="F105" s="20"/>
      <c r="G105" s="28"/>
      <c r="H105" s="21"/>
      <c r="I105" s="21"/>
    </row>
    <row r="106" spans="3:9" s="22" customFormat="1" ht="12.75" customHeight="1">
      <c r="C106" s="23"/>
      <c r="D106" s="23"/>
      <c r="E106" s="23"/>
      <c r="F106" s="20"/>
      <c r="G106" s="28"/>
      <c r="H106" s="21"/>
      <c r="I106" s="21"/>
    </row>
    <row r="107" spans="3:9" s="22" customFormat="1" ht="12.75" customHeight="1">
      <c r="C107" s="23"/>
      <c r="D107" s="23"/>
      <c r="E107" s="23"/>
      <c r="F107" s="20"/>
      <c r="G107" s="28"/>
      <c r="H107" s="21"/>
      <c r="I107" s="21"/>
    </row>
    <row r="108" spans="3:9" s="22" customFormat="1" ht="12.75" customHeight="1">
      <c r="C108" s="23"/>
      <c r="D108" s="23"/>
      <c r="E108" s="23"/>
      <c r="F108" s="20"/>
      <c r="G108" s="28"/>
      <c r="H108" s="21"/>
      <c r="I108" s="21"/>
    </row>
    <row r="109" spans="3:9" s="22" customFormat="1" ht="12.75" customHeight="1">
      <c r="C109" s="23"/>
      <c r="D109" s="23"/>
      <c r="E109" s="23"/>
      <c r="F109" s="20"/>
      <c r="G109" s="28"/>
      <c r="H109" s="21"/>
      <c r="I109" s="21"/>
    </row>
    <row r="110" spans="3:9" s="22" customFormat="1" ht="12.75" customHeight="1">
      <c r="C110" s="23"/>
      <c r="D110" s="23"/>
      <c r="E110" s="23"/>
      <c r="F110" s="20"/>
      <c r="G110" s="28"/>
      <c r="H110" s="21"/>
      <c r="I110" s="21"/>
    </row>
  </sheetData>
  <dataConsolidate/>
  <phoneticPr fontId="0" type="noConversion"/>
  <printOptions horizontalCentered="1"/>
  <pageMargins left="0.78740157480314965" right="0.78740157480314965" top="0.78740157480314965" bottom="0.59055118110236227" header="0.51181102362204722" footer="0.39370078740157483"/>
  <pageSetup paperSize="9" scale="82" orientation="landscape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pageSetUpPr fitToPage="1"/>
  </sheetPr>
  <dimension ref="A1:M94"/>
  <sheetViews>
    <sheetView showGridLines="0" tabSelected="1" topLeftCell="A34" zoomScale="85" zoomScaleNormal="85" workbookViewId="0">
      <selection activeCell="E34" sqref="E34:G34"/>
    </sheetView>
  </sheetViews>
  <sheetFormatPr defaultColWidth="8.85546875" defaultRowHeight="12.75" customHeight="1"/>
  <cols>
    <col min="1" max="2" width="2.140625" style="22" customWidth="1"/>
    <col min="3" max="3" width="3.28515625" style="22" bestFit="1" customWidth="1"/>
    <col min="4" max="4" width="37" style="20" customWidth="1"/>
    <col min="5" max="5" width="8.7109375" style="20" customWidth="1"/>
    <col min="6" max="6" width="10.140625" style="70" customWidth="1"/>
    <col min="7" max="7" width="6.85546875" style="20" customWidth="1"/>
    <col min="8" max="8" width="12.42578125" style="147" bestFit="1" customWidth="1"/>
    <col min="9" max="9" width="79.7109375" style="28" customWidth="1"/>
    <col min="10" max="11" width="2.140625" style="22" customWidth="1"/>
    <col min="12" max="16384" width="8.85546875" style="22"/>
  </cols>
  <sheetData>
    <row r="1" spans="1:10" ht="11.25" customHeight="1" thickBot="1"/>
    <row r="2" spans="1:10" s="17" customFormat="1" ht="11.25" customHeight="1" thickTop="1">
      <c r="B2" s="32"/>
      <c r="C2" s="115"/>
      <c r="D2" s="33"/>
      <c r="E2" s="87"/>
      <c r="F2" s="71"/>
      <c r="G2" s="34"/>
      <c r="H2" s="35"/>
      <c r="I2" s="35"/>
      <c r="J2" s="59"/>
    </row>
    <row r="3" spans="1:10" s="4" customFormat="1" ht="12" customHeight="1">
      <c r="B3" s="36"/>
      <c r="D3" s="250" t="s">
        <v>182</v>
      </c>
      <c r="E3" s="88"/>
      <c r="F3" s="72"/>
      <c r="G3" s="5"/>
      <c r="H3" s="147"/>
      <c r="I3" s="25"/>
      <c r="J3" s="60"/>
    </row>
    <row r="4" spans="1:10" s="4" customFormat="1" ht="10.5" customHeight="1" thickBot="1">
      <c r="B4" s="36"/>
      <c r="D4" s="25"/>
      <c r="E4" s="5"/>
      <c r="F4" s="72"/>
      <c r="G4" s="5"/>
      <c r="H4" s="147"/>
      <c r="I4" s="25"/>
      <c r="J4" s="60"/>
    </row>
    <row r="5" spans="1:10" s="62" customFormat="1" ht="12.75" customHeight="1" thickBot="1">
      <c r="A5" s="4"/>
      <c r="B5" s="36"/>
      <c r="C5" s="4"/>
      <c r="D5" s="50" t="s">
        <v>67</v>
      </c>
      <c r="E5" s="385" t="s">
        <v>62</v>
      </c>
      <c r="F5" s="385"/>
      <c r="G5" s="386"/>
      <c r="H5" s="148"/>
      <c r="I5" s="53"/>
      <c r="J5" s="61"/>
    </row>
    <row r="6" spans="1:10" s="14" customFormat="1" ht="12.75" customHeight="1" thickBot="1">
      <c r="B6" s="37"/>
      <c r="D6" s="179" t="s">
        <v>0</v>
      </c>
      <c r="E6" s="180"/>
      <c r="F6" s="181" t="s">
        <v>24</v>
      </c>
      <c r="G6" s="182" t="s">
        <v>1</v>
      </c>
      <c r="H6" s="149"/>
      <c r="I6" s="16"/>
      <c r="J6" s="57"/>
    </row>
    <row r="7" spans="1:10" s="9" customFormat="1" ht="12" customHeight="1">
      <c r="A7" s="22"/>
      <c r="B7" s="38"/>
      <c r="C7" s="22"/>
      <c r="D7" s="63" t="s">
        <v>22</v>
      </c>
      <c r="E7" s="178" t="s">
        <v>34</v>
      </c>
      <c r="F7" s="360">
        <v>350</v>
      </c>
      <c r="G7" s="68" t="s">
        <v>88</v>
      </c>
      <c r="H7" s="147"/>
      <c r="I7" s="26"/>
      <c r="J7" s="56"/>
    </row>
    <row r="8" spans="1:10" s="9" customFormat="1" ht="12" customHeight="1">
      <c r="B8" s="39"/>
      <c r="D8" s="75" t="s">
        <v>2</v>
      </c>
      <c r="E8" s="89" t="s">
        <v>36</v>
      </c>
      <c r="F8" s="361">
        <v>0</v>
      </c>
      <c r="G8" s="76" t="s">
        <v>3</v>
      </c>
      <c r="H8" s="147"/>
      <c r="I8" s="26"/>
      <c r="J8" s="56"/>
    </row>
    <row r="9" spans="1:10" s="9" customFormat="1" ht="12" customHeight="1">
      <c r="B9" s="39"/>
      <c r="D9" s="51" t="s">
        <v>71</v>
      </c>
      <c r="E9" s="114" t="s">
        <v>34</v>
      </c>
      <c r="F9" s="362">
        <v>0.2</v>
      </c>
      <c r="G9" s="68" t="s">
        <v>4</v>
      </c>
      <c r="H9" s="147"/>
      <c r="I9" s="26"/>
      <c r="J9" s="56"/>
    </row>
    <row r="10" spans="1:10" s="9" customFormat="1" ht="12" customHeight="1" thickBot="1">
      <c r="B10" s="39"/>
      <c r="D10" s="79" t="s">
        <v>96</v>
      </c>
      <c r="E10" s="94" t="s">
        <v>68</v>
      </c>
      <c r="F10" s="363">
        <v>23</v>
      </c>
      <c r="G10" s="123" t="s">
        <v>43</v>
      </c>
      <c r="H10" s="147"/>
      <c r="I10" s="26"/>
      <c r="J10" s="56"/>
    </row>
    <row r="11" spans="1:10" s="9" customFormat="1" ht="12" customHeight="1">
      <c r="B11" s="39"/>
      <c r="C11" s="389" t="s">
        <v>69</v>
      </c>
      <c r="D11" s="112" t="s">
        <v>89</v>
      </c>
      <c r="E11" s="113" t="s">
        <v>105</v>
      </c>
      <c r="F11" s="364">
        <v>35</v>
      </c>
      <c r="G11" s="133" t="s">
        <v>91</v>
      </c>
      <c r="H11" s="147"/>
      <c r="I11" s="26"/>
      <c r="J11" s="56"/>
    </row>
    <row r="12" spans="1:10" s="9" customFormat="1" ht="12" customHeight="1">
      <c r="B12" s="39"/>
      <c r="C12" s="390"/>
      <c r="D12" s="77" t="s">
        <v>45</v>
      </c>
      <c r="E12" s="91" t="s">
        <v>99</v>
      </c>
      <c r="F12" s="365">
        <v>0.06</v>
      </c>
      <c r="G12" s="76" t="s">
        <v>5</v>
      </c>
      <c r="H12" s="147"/>
      <c r="I12" s="26"/>
      <c r="J12" s="56"/>
    </row>
    <row r="13" spans="1:10" s="9" customFormat="1" ht="12" customHeight="1">
      <c r="B13" s="39"/>
      <c r="C13" s="390"/>
      <c r="D13" s="51" t="s">
        <v>46</v>
      </c>
      <c r="E13" s="90" t="s">
        <v>100</v>
      </c>
      <c r="F13" s="366">
        <v>0.06</v>
      </c>
      <c r="G13" s="68" t="s">
        <v>5</v>
      </c>
      <c r="H13" s="147"/>
      <c r="I13" s="26"/>
      <c r="J13" s="56"/>
    </row>
    <row r="14" spans="1:10" s="9" customFormat="1" ht="12" customHeight="1">
      <c r="B14" s="39"/>
      <c r="C14" s="390"/>
      <c r="D14" s="77" t="s">
        <v>47</v>
      </c>
      <c r="E14" s="91" t="s">
        <v>101</v>
      </c>
      <c r="F14" s="365">
        <v>0.06</v>
      </c>
      <c r="G14" s="76" t="s">
        <v>5</v>
      </c>
      <c r="H14" s="147"/>
      <c r="I14" s="26"/>
      <c r="J14" s="56"/>
    </row>
    <row r="15" spans="1:10" s="9" customFormat="1" ht="12" customHeight="1">
      <c r="B15" s="39"/>
      <c r="C15" s="390"/>
      <c r="D15" s="52" t="s">
        <v>48</v>
      </c>
      <c r="E15" s="92" t="s">
        <v>102</v>
      </c>
      <c r="F15" s="367">
        <v>0.15</v>
      </c>
      <c r="G15" s="69" t="s">
        <v>5</v>
      </c>
      <c r="H15" s="147"/>
      <c r="I15" s="26"/>
      <c r="J15" s="56"/>
    </row>
    <row r="16" spans="1:10" s="9" customFormat="1" ht="12" customHeight="1">
      <c r="B16" s="39"/>
      <c r="C16" s="390"/>
      <c r="D16" s="77" t="s">
        <v>31</v>
      </c>
      <c r="E16" s="91" t="s">
        <v>132</v>
      </c>
      <c r="F16" s="361">
        <v>0</v>
      </c>
      <c r="G16" s="76" t="s">
        <v>9</v>
      </c>
      <c r="H16" s="147"/>
      <c r="I16" s="26"/>
      <c r="J16" s="56"/>
    </row>
    <row r="17" spans="1:10" s="9" customFormat="1" ht="12" customHeight="1">
      <c r="B17" s="39"/>
      <c r="C17" s="390"/>
      <c r="D17" s="51" t="s">
        <v>30</v>
      </c>
      <c r="E17" s="90" t="s">
        <v>133</v>
      </c>
      <c r="F17" s="362">
        <v>0</v>
      </c>
      <c r="G17" s="68" t="s">
        <v>9</v>
      </c>
      <c r="H17" s="147"/>
      <c r="I17" s="26"/>
      <c r="J17" s="56"/>
    </row>
    <row r="18" spans="1:10" s="9" customFormat="1" ht="12" customHeight="1">
      <c r="B18" s="39"/>
      <c r="C18" s="390"/>
      <c r="D18" s="77" t="s">
        <v>29</v>
      </c>
      <c r="E18" s="91" t="s">
        <v>134</v>
      </c>
      <c r="F18" s="361">
        <v>0</v>
      </c>
      <c r="G18" s="76" t="s">
        <v>9</v>
      </c>
      <c r="H18" s="147"/>
      <c r="I18" s="26"/>
      <c r="J18" s="56"/>
    </row>
    <row r="19" spans="1:10" s="9" customFormat="1" ht="12" customHeight="1" thickBot="1">
      <c r="B19" s="39"/>
      <c r="C19" s="391"/>
      <c r="D19" s="119" t="s">
        <v>28</v>
      </c>
      <c r="E19" s="137" t="s">
        <v>135</v>
      </c>
      <c r="F19" s="368">
        <v>0</v>
      </c>
      <c r="G19" s="136" t="s">
        <v>9</v>
      </c>
      <c r="H19" s="147"/>
      <c r="I19" s="26"/>
      <c r="J19" s="56"/>
    </row>
    <row r="20" spans="1:10" s="9" customFormat="1" ht="12" customHeight="1">
      <c r="B20" s="39"/>
      <c r="C20" s="382" t="s">
        <v>70</v>
      </c>
      <c r="D20" s="197" t="s">
        <v>90</v>
      </c>
      <c r="E20" s="198" t="s">
        <v>103</v>
      </c>
      <c r="F20" s="369">
        <v>35</v>
      </c>
      <c r="G20" s="199" t="s">
        <v>91</v>
      </c>
      <c r="H20" s="147"/>
      <c r="I20" s="26"/>
      <c r="J20" s="56"/>
    </row>
    <row r="21" spans="1:10" s="9" customFormat="1" ht="12" customHeight="1">
      <c r="B21" s="39"/>
      <c r="C21" s="383"/>
      <c r="D21" s="77" t="s">
        <v>45</v>
      </c>
      <c r="E21" s="91" t="s">
        <v>104</v>
      </c>
      <c r="F21" s="365">
        <v>0.06</v>
      </c>
      <c r="G21" s="76" t="s">
        <v>5</v>
      </c>
      <c r="H21" s="147"/>
      <c r="I21" s="26"/>
      <c r="J21" s="56"/>
    </row>
    <row r="22" spans="1:10" s="9" customFormat="1" ht="12" customHeight="1">
      <c r="B22" s="39"/>
      <c r="C22" s="383"/>
      <c r="D22" s="51" t="s">
        <v>46</v>
      </c>
      <c r="E22" s="90" t="s">
        <v>106</v>
      </c>
      <c r="F22" s="366">
        <v>0.06</v>
      </c>
      <c r="G22" s="68" t="s">
        <v>5</v>
      </c>
      <c r="H22" s="147"/>
      <c r="I22" s="26"/>
      <c r="J22" s="56"/>
    </row>
    <row r="23" spans="1:10" s="9" customFormat="1" ht="12" customHeight="1">
      <c r="B23" s="39"/>
      <c r="C23" s="383"/>
      <c r="D23" s="77" t="s">
        <v>47</v>
      </c>
      <c r="E23" s="91" t="s">
        <v>107</v>
      </c>
      <c r="F23" s="365">
        <v>0.06</v>
      </c>
      <c r="G23" s="76" t="s">
        <v>5</v>
      </c>
      <c r="H23" s="147"/>
      <c r="I23" s="26"/>
      <c r="J23" s="56"/>
    </row>
    <row r="24" spans="1:10" s="9" customFormat="1" ht="12" customHeight="1">
      <c r="B24" s="39"/>
      <c r="C24" s="383"/>
      <c r="D24" s="52" t="s">
        <v>48</v>
      </c>
      <c r="E24" s="92" t="s">
        <v>108</v>
      </c>
      <c r="F24" s="367">
        <v>0.15</v>
      </c>
      <c r="G24" s="69" t="s">
        <v>5</v>
      </c>
      <c r="H24" s="147"/>
      <c r="I24" s="26"/>
      <c r="J24" s="56"/>
    </row>
    <row r="25" spans="1:10" s="9" customFormat="1" ht="12" customHeight="1">
      <c r="B25" s="39"/>
      <c r="C25" s="383"/>
      <c r="D25" s="77" t="s">
        <v>31</v>
      </c>
      <c r="E25" s="91" t="s">
        <v>136</v>
      </c>
      <c r="F25" s="361">
        <v>0</v>
      </c>
      <c r="G25" s="76" t="s">
        <v>9</v>
      </c>
      <c r="H25" s="147"/>
      <c r="I25" s="26"/>
      <c r="J25" s="56"/>
    </row>
    <row r="26" spans="1:10" s="9" customFormat="1" ht="12" customHeight="1">
      <c r="B26" s="39"/>
      <c r="C26" s="383"/>
      <c r="D26" s="51" t="s">
        <v>30</v>
      </c>
      <c r="E26" s="90" t="s">
        <v>137</v>
      </c>
      <c r="F26" s="362">
        <v>0</v>
      </c>
      <c r="G26" s="68" t="s">
        <v>9</v>
      </c>
      <c r="H26" s="147"/>
      <c r="I26" s="26"/>
      <c r="J26" s="56"/>
    </row>
    <row r="27" spans="1:10" s="9" customFormat="1" ht="12" customHeight="1">
      <c r="B27" s="39"/>
      <c r="C27" s="383"/>
      <c r="D27" s="77" t="s">
        <v>29</v>
      </c>
      <c r="E27" s="91" t="s">
        <v>138</v>
      </c>
      <c r="F27" s="361">
        <v>0</v>
      </c>
      <c r="G27" s="76" t="s">
        <v>9</v>
      </c>
      <c r="H27" s="147"/>
      <c r="I27" s="26"/>
      <c r="J27" s="56"/>
    </row>
    <row r="28" spans="1:10" s="9" customFormat="1" ht="12" customHeight="1" thickBot="1">
      <c r="B28" s="39"/>
      <c r="C28" s="384"/>
      <c r="D28" s="119" t="s">
        <v>28</v>
      </c>
      <c r="E28" s="137" t="s">
        <v>139</v>
      </c>
      <c r="F28" s="368">
        <v>0</v>
      </c>
      <c r="G28" s="136" t="s">
        <v>9</v>
      </c>
      <c r="H28" s="147"/>
      <c r="I28" s="26"/>
      <c r="J28" s="56"/>
    </row>
    <row r="29" spans="1:10" s="9" customFormat="1" ht="12" customHeight="1">
      <c r="B29" s="39"/>
      <c r="C29" s="196"/>
      <c r="D29" s="378" t="s">
        <v>184</v>
      </c>
      <c r="E29" s="377" t="s">
        <v>183</v>
      </c>
      <c r="F29" s="370">
        <v>55</v>
      </c>
      <c r="G29" s="200" t="s">
        <v>7</v>
      </c>
      <c r="H29" s="147"/>
      <c r="I29" s="26"/>
      <c r="J29" s="56"/>
    </row>
    <row r="30" spans="1:10" s="9" customFormat="1" ht="12" customHeight="1">
      <c r="B30" s="39"/>
      <c r="C30" s="196"/>
      <c r="D30" s="203" t="s">
        <v>147</v>
      </c>
      <c r="E30" s="195" t="s">
        <v>149</v>
      </c>
      <c r="F30" s="371">
        <v>24</v>
      </c>
      <c r="G30" s="133" t="s">
        <v>152</v>
      </c>
      <c r="H30" s="147"/>
      <c r="I30" s="270"/>
      <c r="J30" s="56"/>
    </row>
    <row r="31" spans="1:10" s="9" customFormat="1" ht="12" customHeight="1" thickBot="1">
      <c r="B31" s="39"/>
      <c r="C31" s="196"/>
      <c r="D31" s="204" t="s">
        <v>148</v>
      </c>
      <c r="E31" s="206" t="s">
        <v>151</v>
      </c>
      <c r="F31" s="372">
        <v>3</v>
      </c>
      <c r="G31" s="205" t="s">
        <v>10</v>
      </c>
      <c r="H31" s="147"/>
      <c r="I31" s="272" t="s">
        <v>168</v>
      </c>
      <c r="J31" s="56"/>
    </row>
    <row r="32" spans="1:10" s="12" customFormat="1" ht="12" customHeight="1" thickBot="1">
      <c r="A32" s="9"/>
      <c r="B32" s="39"/>
      <c r="C32" s="9"/>
      <c r="E32" s="11"/>
      <c r="H32" s="147"/>
      <c r="I32" s="273" t="s">
        <v>169</v>
      </c>
      <c r="J32" s="56"/>
    </row>
    <row r="33" spans="1:13" ht="12" customHeight="1" thickBot="1">
      <c r="A33" s="9"/>
      <c r="B33" s="39"/>
      <c r="C33" s="9"/>
      <c r="D33" s="50" t="s">
        <v>72</v>
      </c>
      <c r="E33" s="221"/>
      <c r="F33" s="249" t="s">
        <v>167</v>
      </c>
      <c r="G33" s="222"/>
      <c r="I33" s="271" t="s">
        <v>159</v>
      </c>
      <c r="J33" s="56"/>
      <c r="M33" s="9"/>
    </row>
    <row r="34" spans="1:13" s="14" customFormat="1" ht="14.25" customHeight="1" thickBot="1">
      <c r="A34" s="12"/>
      <c r="B34" s="39"/>
      <c r="C34" s="9"/>
      <c r="D34" s="127" t="s">
        <v>73</v>
      </c>
      <c r="E34" s="392" t="s">
        <v>160</v>
      </c>
      <c r="F34" s="393"/>
      <c r="G34" s="394"/>
      <c r="I34" s="271" t="s">
        <v>160</v>
      </c>
      <c r="J34" s="56"/>
    </row>
    <row r="35" spans="1:13" s="14" customFormat="1" ht="12" customHeight="1" thickBot="1">
      <c r="A35" s="12"/>
      <c r="B35" s="39"/>
      <c r="C35" s="9"/>
      <c r="D35" s="179" t="s">
        <v>0</v>
      </c>
      <c r="E35" s="231"/>
      <c r="F35" s="225" t="s">
        <v>24</v>
      </c>
      <c r="G35" s="182" t="s">
        <v>1</v>
      </c>
      <c r="I35" s="271" t="s">
        <v>161</v>
      </c>
      <c r="J35" s="56"/>
    </row>
    <row r="36" spans="1:13" ht="12" customHeight="1">
      <c r="A36" s="14"/>
      <c r="B36" s="39"/>
      <c r="C36" s="9"/>
      <c r="D36" s="128" t="s">
        <v>142</v>
      </c>
      <c r="E36" s="232" t="s">
        <v>80</v>
      </c>
      <c r="F36" s="252">
        <f>IF(E34="LM1247-020",MotorDataBase!D4)+IF(E34="LM1247-040",MotorDataBase!E4)+IF(E34="LM1247-060",MotorDataBase!F4)+IF(E34="LM1247-080",MotorDataBase!G4)+IF(E34="LM1247-100",MotorDataBase!H4)+IF(E34="LM1247-120",MotorDataBase!I4)+IF(E34="LM2070-040",MotorDataBase!J4)+IF(E34="LM2070-080",MotorDataBase!K4)+IF(E34="LM2070-120",MotorDataBase!L4)+IF(E34="LM2070-160",MotorDataBase!M4)+IF(E34="LM2070-220",MotorDataBase!N4)+IF(E34="LM0830-015",MotorDataBase!O4)+IF(E34="LM0830-040",MotorDataBase!P4)+IF(E34="LM1483-020",MotorDataBase!Q4)+IF(E34="LM1483-040",MotorDataBase!R4)+IF(E34="LM1483-060",MotorDataBase!S4)+IF(E34="LM1483-080",MotorDataBase!T4)+IF(E34="LM-Special",MotorDataBase!D17)</f>
        <v>1.66</v>
      </c>
      <c r="G36" s="241" t="s">
        <v>10</v>
      </c>
      <c r="I36" s="271" t="s">
        <v>162</v>
      </c>
      <c r="J36" s="56"/>
    </row>
    <row r="37" spans="1:13" ht="12" customHeight="1">
      <c r="A37" s="14"/>
      <c r="B37" s="39"/>
      <c r="C37" s="9"/>
      <c r="D37" s="120" t="s">
        <v>81</v>
      </c>
      <c r="E37" s="233" t="s">
        <v>82</v>
      </c>
      <c r="F37" s="253">
        <f>IF(E34="LM1247-020",MotorDataBase!D5)+IF(E34="LM1247-040",MotorDataBase!E5)+IF(E34="LM1247-060",MotorDataBase!F5)+IF(E34="LM1247-080",MotorDataBase!G5)+IF(E34="LM1247-100",MotorDataBase!H5)+IF(E34="LM1247-120",MotorDataBase!I5)+IF(E34="LM2070-040",MotorDataBase!J5)+IF(E34="LM2070-080",MotorDataBase!K5)+IF(E34="LM2070-120",MotorDataBase!L5)+IF(E34="LM2070-160",MotorDataBase!M5)+IF(E34="LM2070-220",MotorDataBase!N5)+IF(E34="LM0830-015",MotorDataBase!O5)+IF(E34="LM0830-040",MotorDataBase!P5)+IF(E34="LM1483-020",MotorDataBase!Q5)+IF(E34="LM1483-040",MotorDataBase!R5)+IF(E34="LM1483-060",MotorDataBase!S5)+IF(E34="LM1483-080",MotorDataBase!T5)+IF(E34="LM-Special",MotorDataBase!D18)</f>
        <v>5.25</v>
      </c>
      <c r="G37" s="242" t="s">
        <v>157</v>
      </c>
      <c r="I37" s="271" t="s">
        <v>163</v>
      </c>
      <c r="J37" s="56"/>
    </row>
    <row r="38" spans="1:13" ht="12" customHeight="1">
      <c r="A38" s="14"/>
      <c r="B38" s="39"/>
      <c r="C38" s="9"/>
      <c r="D38" s="132" t="s">
        <v>52</v>
      </c>
      <c r="E38" s="234" t="s">
        <v>153</v>
      </c>
      <c r="F38" s="254">
        <f>IF(E34="LM1247-020",MotorDataBase!D6)+IF(E34="LM1247-040",MotorDataBase!E6)+IF(E34="LM1247-060",MotorDataBase!F6)+IF(E34="LM1247-080",MotorDataBase!G6)+IF(E34="LM1247-100",MotorDataBase!H6)+IF(E34="LM1247-120",MotorDataBase!I6)+IF(E34="LM2070-040",MotorDataBase!J6)+IF(E34="LM2070-080",MotorDataBase!K6)+IF(E34="LM2070-120",MotorDataBase!L6)+IF(E34="LM2070-160",MotorDataBase!M6)+IF(E34="LM2070-220",MotorDataBase!N6)+IF(E34="LM0830-015",MotorDataBase!O6)+IF(E34="LM0830-040",MotorDataBase!P6)+IF(E34="LM1483-020",MotorDataBase!Q6)+IF(E34="LM1483-040",MotorDataBase!R6)+IF(E34="LM1483-060",MotorDataBase!S6)+IF(E34="LM1483-080",MotorDataBase!T6)+IF(E34="LM-Special",MotorDataBase!D19)</f>
        <v>6.43</v>
      </c>
      <c r="G38" s="243" t="s">
        <v>51</v>
      </c>
      <c r="I38" s="271" t="s">
        <v>164</v>
      </c>
      <c r="J38" s="56"/>
    </row>
    <row r="39" spans="1:13" ht="12" customHeight="1">
      <c r="A39" s="14"/>
      <c r="B39" s="39"/>
      <c r="C39" s="9"/>
      <c r="D39" s="125" t="s">
        <v>58</v>
      </c>
      <c r="E39" s="235" t="s">
        <v>39</v>
      </c>
      <c r="F39" s="255">
        <f>IF(E34="LM1247-020",MotorDataBase!D7)+IF(E34="LM1247-040",MotorDataBase!E7)+IF(E34="LM1247-060",MotorDataBase!F7)+IF(E34="LM1247-080",MotorDataBase!G7)+IF(E34="LM1247-100",MotorDataBase!H7)+IF(E34="LM1247-120",MotorDataBase!I7)+IF(E34="LM2070-040",MotorDataBase!J7)+IF(E34="LM2070-080",MotorDataBase!K7)+IF(E34="LM2070-120",MotorDataBase!L7)+IF(E34="LM2070-160",MotorDataBase!M7)+IF(E34="LM2070-220",MotorDataBase!N7)+IF(E34="LM0830-015",MotorDataBase!O7)+IF(E34="LM0830-040",MotorDataBase!P7)+IF(E34="LM1483-020",MotorDataBase!Q7)+IF(E34="LM1483-040",MotorDataBase!R7)+IF(E34="LM1483-060",MotorDataBase!S7)+IF(E34="LM1483-080",MotorDataBase!T7)+IF(E34="LM-Special",MotorDataBase!D20)</f>
        <v>13.17</v>
      </c>
      <c r="G39" s="274" t="s">
        <v>170</v>
      </c>
      <c r="I39" s="271" t="s">
        <v>159</v>
      </c>
      <c r="J39" s="56"/>
    </row>
    <row r="40" spans="1:13" ht="12" customHeight="1">
      <c r="A40" s="14"/>
      <c r="B40" s="39"/>
      <c r="C40" s="9"/>
      <c r="D40" s="118" t="s">
        <v>57</v>
      </c>
      <c r="E40" s="236" t="s">
        <v>35</v>
      </c>
      <c r="F40" s="256">
        <f>IF(E34="LM1247-020",MotorDataBase!D8)+IF(E34="LM1247-040",MotorDataBase!E8)+IF(E34="LM1247-060",MotorDataBase!F8)+IF(E34="LM1247-080",MotorDataBase!G8)+IF(E34="LM1247-100",MotorDataBase!H8)+IF(E34="LM1247-120",MotorDataBase!I8)+IF(E34="LM2070-040",MotorDataBase!J8)+IF(E34="LM2070-080",MotorDataBase!K8)+IF(E34="LM2070-120",MotorDataBase!L8)+IF(E34="LM2070-160",MotorDataBase!M8)+IF(E34="LM2070-220",MotorDataBase!N8)+IF(E34="LM0830-015",MotorDataBase!O8)+IF(E34="LM0830-040",MotorDataBase!P8)+IF(E34="LM1483-020",MotorDataBase!Q8)+IF(E34="LM1483-040",MotorDataBase!R8)+IF(E34="LM1483-060",MotorDataBase!S8)+IF(E34="LM1483-080",MotorDataBase!T8)+IF(E34="LM-Special",MotorDataBase!D21)</f>
        <v>40</v>
      </c>
      <c r="G40" s="244" t="s">
        <v>91</v>
      </c>
      <c r="I40" s="305" t="s">
        <v>176</v>
      </c>
      <c r="J40" s="56"/>
    </row>
    <row r="41" spans="1:13" ht="12" customHeight="1">
      <c r="A41" s="14"/>
      <c r="B41" s="39"/>
      <c r="C41" s="9"/>
      <c r="D41" s="117" t="s">
        <v>143</v>
      </c>
      <c r="E41" s="237" t="s">
        <v>83</v>
      </c>
      <c r="F41" s="257">
        <f>IF(E34="LM1247-020",MotorDataBase!D9)+IF(E34="LM1247-040",MotorDataBase!E9)+IF(E34="LM1247-060",MotorDataBase!F9)+IF(E34="LM1247-080",MotorDataBase!G9)+IF(E34="LM1247-100",MotorDataBase!H9)+IF(E34="LM1247-120",MotorDataBase!I9)+IF(E34="LM2070-040",MotorDataBase!J9)+IF(E34="LM2070-080",MotorDataBase!K9)+IF(E34="LM2070-120",MotorDataBase!L9)+IF(E34="LM2070-160",MotorDataBase!M9)+IF(E34="LM2070-220",MotorDataBase!N9)+IF(E34="LM0830-015",MotorDataBase!O9)+IF(E34="LM0830-040",MotorDataBase!P9)+IF(E34="LM1483-020",MotorDataBase!Q9)+IF(E34="LM1483-040",MotorDataBase!R9)+IF(E34="LM1483-060",MotorDataBase!S9)+IF(E34="LM1483-080",MotorDataBase!T9)+IF(E34="LM-Special",MotorDataBase!D22)</f>
        <v>148.5</v>
      </c>
      <c r="G41" s="245" t="s">
        <v>23</v>
      </c>
      <c r="I41" s="305" t="s">
        <v>177</v>
      </c>
      <c r="J41" s="56"/>
    </row>
    <row r="42" spans="1:13" ht="12" customHeight="1">
      <c r="A42" s="14"/>
      <c r="B42" s="39"/>
      <c r="C42" s="9"/>
      <c r="D42" s="134" t="s">
        <v>84</v>
      </c>
      <c r="E42" s="238" t="s">
        <v>85</v>
      </c>
      <c r="F42" s="254">
        <f>IF(E34="LM1247-020",MotorDataBase!D10)+IF(E34="LM1247-040",MotorDataBase!E10)+IF(E34="LM1247-060",MotorDataBase!F10)+IF(E34="LM1247-080",MotorDataBase!G10)+IF(E34="LM1247-100",MotorDataBase!H10)+IF(E34="LM1247-120",MotorDataBase!I10)+IF(E34="LM2070-040",MotorDataBase!J10)+IF(E34="LM2070-080",MotorDataBase!K10)+IF(E34="LM2070-120",MotorDataBase!L10)+IF(E34="LM2070-160",MotorDataBase!M10)+IF(E34="LM2070-220",MotorDataBase!N10)+IF(E34="LM0830-015",MotorDataBase!O10)+IF(E34="LM0830-040",MotorDataBase!P10)+IF(E34="LM1483-020",MotorDataBase!Q10)+IF(E34="LM1483-040",MotorDataBase!R10)+IF(E34="LM1483-060",MotorDataBase!S10)+IF(E34="LM1483-080",MotorDataBase!T10)+IF(E34="LM-Special",MotorDataBase!D23)</f>
        <v>2.4</v>
      </c>
      <c r="G42" s="243" t="s">
        <v>8</v>
      </c>
      <c r="I42" s="305" t="s">
        <v>178</v>
      </c>
      <c r="J42" s="56"/>
    </row>
    <row r="43" spans="1:13" ht="12" customHeight="1">
      <c r="A43" s="14"/>
      <c r="B43" s="39"/>
      <c r="C43" s="9"/>
      <c r="D43" s="82" t="s">
        <v>55</v>
      </c>
      <c r="E43" s="239" t="s">
        <v>40</v>
      </c>
      <c r="F43" s="258">
        <f>IF(E34="LM1247-020",MotorDataBase!D11)+IF(E34="LM1247-040",MotorDataBase!E11)+IF(E34="LM1247-060",MotorDataBase!F11)+IF(E34="LM1247-080",MotorDataBase!G11)+IF(E34="LM1247-100",MotorDataBase!H11)+IF(E34="LM1247-120",MotorDataBase!I11)+IF(E34="LM2070-040",MotorDataBase!J11)+IF(E34="LM2070-080",MotorDataBase!K11)+IF(E34="LM2070-120",MotorDataBase!L11)+IF(E34="LM2070-160",MotorDataBase!M11)+IF(E34="LM2070-220",MotorDataBase!N11)+IF(E34="LM0830-015",MotorDataBase!O11)+IF(E34="LM0830-040",MotorDataBase!P11)+IF(E34="LM1483-020",MotorDataBase!Q11)+IF(E34="LM1483-040",MotorDataBase!R11)+IF(E34="LM1483-060",MotorDataBase!S11)+IF(E34="LM1483-080",MotorDataBase!T11)+IF(E34="LM-Special",MotorDataBase!D24)</f>
        <v>3.2</v>
      </c>
      <c r="G43" s="246" t="s">
        <v>158</v>
      </c>
      <c r="I43" s="305" t="s">
        <v>179</v>
      </c>
      <c r="J43" s="56"/>
    </row>
    <row r="44" spans="1:13" ht="12" customHeight="1">
      <c r="A44" s="14"/>
      <c r="B44" s="39"/>
      <c r="C44" s="9"/>
      <c r="D44" s="135" t="s">
        <v>56</v>
      </c>
      <c r="E44" s="175" t="s">
        <v>41</v>
      </c>
      <c r="F44" s="259">
        <f>IF(E34="LM1247-020",MotorDataBase!D12)+IF(E34="LM1247-040",MotorDataBase!E12)+IF(E34="LM1247-060",MotorDataBase!F12)+IF(E34="LM1247-080",MotorDataBase!G12)+IF(E34="LM1247-100",MotorDataBase!H12)+IF(E34="LM1247-120",MotorDataBase!I12)+IF(E34="LM2070-040",MotorDataBase!J12)+IF(E34="LM2070-080",MotorDataBase!K12)+IF(E34="LM2070-120",MotorDataBase!L12)+IF(E34="LM2070-160",MotorDataBase!M12)+IF(E34="LM2070-220",MotorDataBase!N12)+IF(E34="LM0830-015",MotorDataBase!O12)+IF(E34="LM0830-040",MotorDataBase!P12)+IF(E34="LM1483-020",MotorDataBase!Q12)+IF(E34="LM1483-040",MotorDataBase!R12)+IF(E34="LM1483-060",MotorDataBase!S12)+IF(E34="LM1483-080",MotorDataBase!T12)+IF(E34="LM-Special",MotorDataBase!D25)</f>
        <v>20</v>
      </c>
      <c r="G44" s="247" t="s">
        <v>158</v>
      </c>
      <c r="I44" s="271" t="s">
        <v>165</v>
      </c>
      <c r="J44" s="56"/>
    </row>
    <row r="45" spans="1:13" ht="12" customHeight="1" thickBot="1">
      <c r="A45" s="14"/>
      <c r="B45" s="39"/>
      <c r="C45" s="9"/>
      <c r="D45" s="79" t="s">
        <v>86</v>
      </c>
      <c r="E45" s="240" t="s">
        <v>87</v>
      </c>
      <c r="F45" s="260">
        <f>IF(E34="LM1247-020",MotorDataBase!D13)+IF(E34="LM1247-040",MotorDataBase!E13)+IF(E34="LM1247-060",MotorDataBase!F13)+IF(E34="LM1247-080",MotorDataBase!G13)+IF(E34="LM1247-100",MotorDataBase!H13)+IF(E34="LM1247-120",MotorDataBase!I13)+IF(E34="LM2070-040",MotorDataBase!J13)+IF(E34="LM2070-080",MotorDataBase!K13)+IF(E34="LM2070-120",MotorDataBase!L13)+IF(E34="LM2070-160",MotorDataBase!M13)+IF(E34="LM2070-220",MotorDataBase!N13)+IF(E34="LM0830-015",MotorDataBase!O13)+IF(E34="LM0830-040",MotorDataBase!P13)+IF(E34="LM1483-020",MotorDataBase!Q13)+IF(E34="LM1483-040",MotorDataBase!R13)+IF(E34="LM1483-060",MotorDataBase!S13)+IF(E34="LM1483-080",MotorDataBase!T13)+IF(E34="LM-Special",MotorDataBase!D26)</f>
        <v>24</v>
      </c>
      <c r="G45" s="248" t="s">
        <v>88</v>
      </c>
      <c r="I45" s="271" t="s">
        <v>171</v>
      </c>
      <c r="J45" s="56"/>
    </row>
    <row r="46" spans="1:13" ht="12" customHeight="1" thickBot="1">
      <c r="A46" s="14"/>
      <c r="B46" s="39"/>
      <c r="C46" s="9"/>
      <c r="D46" s="22"/>
      <c r="F46" s="22"/>
      <c r="G46" s="22"/>
      <c r="I46" s="271" t="s">
        <v>166</v>
      </c>
      <c r="J46" s="56"/>
    </row>
    <row r="47" spans="1:13" ht="12.75" customHeight="1" thickBot="1">
      <c r="B47" s="40"/>
      <c r="C47" s="12"/>
      <c r="D47" s="49" t="s">
        <v>25</v>
      </c>
      <c r="E47" s="387" t="s">
        <v>63</v>
      </c>
      <c r="F47" s="387"/>
      <c r="G47" s="388"/>
      <c r="I47" s="271" t="s">
        <v>172</v>
      </c>
      <c r="J47" s="57"/>
    </row>
    <row r="48" spans="1:13" ht="12.75" customHeight="1" thickBot="1">
      <c r="B48" s="37"/>
      <c r="C48" s="14"/>
      <c r="D48" s="179" t="s">
        <v>0</v>
      </c>
      <c r="E48" s="180"/>
      <c r="F48" s="181" t="s">
        <v>21</v>
      </c>
      <c r="G48" s="182" t="s">
        <v>1</v>
      </c>
      <c r="H48" s="149"/>
      <c r="I48" s="271" t="s">
        <v>173</v>
      </c>
      <c r="J48" s="41"/>
    </row>
    <row r="49" spans="2:13" ht="12" customHeight="1">
      <c r="B49" s="38"/>
      <c r="D49" s="121" t="s">
        <v>144</v>
      </c>
      <c r="E49" s="122" t="s">
        <v>76</v>
      </c>
      <c r="F49" s="207">
        <f>kf*Iemax</f>
        <v>3.5462277746419688</v>
      </c>
      <c r="G49" s="126" t="s">
        <v>9</v>
      </c>
      <c r="I49" s="305" t="s">
        <v>180</v>
      </c>
      <c r="J49" s="41"/>
    </row>
    <row r="50" spans="2:13" ht="12" customHeight="1">
      <c r="B50" s="38"/>
      <c r="D50" s="128" t="s">
        <v>140</v>
      </c>
      <c r="E50" s="129" t="s">
        <v>75</v>
      </c>
      <c r="F50" s="208">
        <f>kf*Ipmax</f>
        <v>10.673799999999998</v>
      </c>
      <c r="G50" s="130" t="s">
        <v>9</v>
      </c>
      <c r="J50" s="41"/>
    </row>
    <row r="51" spans="2:13" ht="12" customHeight="1">
      <c r="B51" s="38"/>
      <c r="D51" s="209" t="s">
        <v>141</v>
      </c>
      <c r="E51" s="210" t="s">
        <v>77</v>
      </c>
      <c r="F51" s="211">
        <f>SQRT((125-Ta)/(Res*(1+0.0038*(125-22))*(_Rth1+((100-F29)/100)*_Rth2)))*(SQRT(2)/SQRT(3))</f>
        <v>0.55151287319470743</v>
      </c>
      <c r="G51" s="212" t="s">
        <v>10</v>
      </c>
      <c r="J51" s="41"/>
    </row>
    <row r="52" spans="2:13" ht="12" customHeight="1">
      <c r="B52" s="38"/>
      <c r="D52" s="63" t="s">
        <v>154</v>
      </c>
      <c r="E52" s="113" t="s">
        <v>33</v>
      </c>
      <c r="F52" s="215">
        <f>((Load + Slider_mass)/1000)*10*Friction_coefficient*COS(Incline_angle/360*2*PI())+(mm/1000*COS(Incline_angle/360*2*PI()))</f>
        <v>0.77200000000000013</v>
      </c>
      <c r="G52" s="159" t="s">
        <v>9</v>
      </c>
      <c r="J52" s="41"/>
      <c r="M52" s="213"/>
    </row>
    <row r="53" spans="2:13" ht="12" customHeight="1">
      <c r="B53" s="38"/>
      <c r="D53" s="170" t="s">
        <v>44</v>
      </c>
      <c r="E53" s="171" t="s">
        <v>130</v>
      </c>
      <c r="F53" s="216">
        <f>((Load + Slider_mass)/1000)*10*Friction_coefficient*COS(Incline_angle/360*2*PI())</f>
        <v>0.74800000000000011</v>
      </c>
      <c r="G53" s="81" t="s">
        <v>9</v>
      </c>
      <c r="H53" s="22"/>
      <c r="J53" s="41"/>
    </row>
    <row r="54" spans="2:13" ht="12" customHeight="1">
      <c r="B54" s="38"/>
      <c r="D54" s="132" t="s">
        <v>66</v>
      </c>
      <c r="E54" s="195" t="s">
        <v>65</v>
      </c>
      <c r="F54" s="215">
        <f>((Load + Slider_mass)/1000)*10*SIN(Incline_angle/360*2*PI())</f>
        <v>0</v>
      </c>
      <c r="G54" s="130" t="s">
        <v>9</v>
      </c>
      <c r="J54" s="41"/>
    </row>
    <row r="55" spans="2:13" ht="12" customHeight="1" thickBot="1">
      <c r="B55" s="38"/>
      <c r="D55" s="170" t="s">
        <v>155</v>
      </c>
      <c r="E55" s="171" t="s">
        <v>131</v>
      </c>
      <c r="F55" s="216">
        <f>((Load + Slider_mass)/1000)*10*SIN(Incline_angle/360*2*PI())+(mm/1000*9.81*SIN(Incline_angle/360*2*PI()))</f>
        <v>0</v>
      </c>
      <c r="G55" s="81" t="s">
        <v>9</v>
      </c>
      <c r="J55" s="41"/>
    </row>
    <row r="56" spans="2:13" ht="12" customHeight="1">
      <c r="B56" s="38"/>
      <c r="C56" s="379" t="s">
        <v>69</v>
      </c>
      <c r="D56" s="138" t="s">
        <v>11</v>
      </c>
      <c r="E56" s="139" t="s">
        <v>109</v>
      </c>
      <c r="F56" s="266">
        <f>Accel_time+Traverse_time+Decel_time</f>
        <v>0.18</v>
      </c>
      <c r="G56" s="140" t="s">
        <v>5</v>
      </c>
      <c r="J56" s="41"/>
    </row>
    <row r="57" spans="2:13" ht="12" customHeight="1">
      <c r="B57" s="38"/>
      <c r="C57" s="380"/>
      <c r="D57" s="80" t="s">
        <v>12</v>
      </c>
      <c r="E57" s="95" t="s">
        <v>110</v>
      </c>
      <c r="F57" s="267">
        <f>tdf+Dwell_time</f>
        <v>0.32999999999999996</v>
      </c>
      <c r="G57" s="81" t="s">
        <v>5</v>
      </c>
      <c r="J57" s="41"/>
    </row>
    <row r="58" spans="2:13" ht="12" customHeight="1">
      <c r="B58" s="38"/>
      <c r="C58" s="380"/>
      <c r="D58" s="141" t="s">
        <v>13</v>
      </c>
      <c r="E58" s="96" t="s">
        <v>111</v>
      </c>
      <c r="F58" s="167">
        <f>tdf/ttf*100</f>
        <v>54.545454545454554</v>
      </c>
      <c r="G58" s="65" t="s">
        <v>7</v>
      </c>
      <c r="J58" s="41"/>
    </row>
    <row r="59" spans="2:13" ht="12" customHeight="1">
      <c r="B59" s="38"/>
      <c r="C59" s="380"/>
      <c r="D59" s="80" t="s">
        <v>15</v>
      </c>
      <c r="E59" s="97" t="s">
        <v>112</v>
      </c>
      <c r="F59" s="373">
        <f>(sf/1000)/(Accel_time/2+Traverse_time+Decel_time/2)</f>
        <v>0.29166666666666669</v>
      </c>
      <c r="G59" s="81" t="s">
        <v>8</v>
      </c>
      <c r="H59" s="194" t="str">
        <f>IF(Max_speed&lt;Vemax,"ok","HIGH")</f>
        <v>ok</v>
      </c>
      <c r="J59" s="41"/>
      <c r="M59" s="214"/>
    </row>
    <row r="60" spans="2:13" ht="12" customHeight="1">
      <c r="B60" s="38"/>
      <c r="C60" s="380"/>
      <c r="D60" s="64" t="s">
        <v>16</v>
      </c>
      <c r="E60" s="98" t="s">
        <v>113</v>
      </c>
      <c r="F60" s="374">
        <f>Max_speed/Accel_time</f>
        <v>4.8611111111111116</v>
      </c>
      <c r="G60" s="159" t="s">
        <v>23</v>
      </c>
      <c r="H60" s="194" t="str">
        <f>IF(Acceleration&lt;aemax,"ok","HIGH")</f>
        <v>ok</v>
      </c>
      <c r="J60" s="41"/>
      <c r="M60" s="214"/>
    </row>
    <row r="61" spans="2:13" ht="12" customHeight="1">
      <c r="B61" s="38"/>
      <c r="C61" s="380"/>
      <c r="D61" s="78" t="s">
        <v>27</v>
      </c>
      <c r="E61" s="93" t="s">
        <v>114</v>
      </c>
      <c r="F61" s="375">
        <f>Max_speed/Decel_time</f>
        <v>4.8611111111111116</v>
      </c>
      <c r="G61" s="83" t="s">
        <v>23</v>
      </c>
      <c r="H61" s="194" t="str">
        <f>IF(Acceleration&lt;aemax,"ok","HIGH")</f>
        <v>ok</v>
      </c>
      <c r="J61" s="41"/>
    </row>
    <row r="62" spans="2:13" ht="12" customHeight="1">
      <c r="B62" s="38"/>
      <c r="C62" s="380"/>
      <c r="D62" s="66" t="s">
        <v>60</v>
      </c>
      <c r="E62" s="99" t="s">
        <v>115</v>
      </c>
      <c r="F62" s="217">
        <f>((Load + Slider_mass)/1000)*Acceleration+Ff+F_parallel+Force_applied_acceleration</f>
        <v>2.5660555555555558</v>
      </c>
      <c r="G62" s="160" t="s">
        <v>9</v>
      </c>
      <c r="H62" s="194"/>
      <c r="I62" s="58">
        <f>ABS(Acceleration_section)</f>
        <v>2.5660555555555558</v>
      </c>
      <c r="J62" s="41"/>
    </row>
    <row r="63" spans="2:13" ht="12" customHeight="1">
      <c r="B63" s="38"/>
      <c r="C63" s="380"/>
      <c r="D63" s="84" t="s">
        <v>17</v>
      </c>
      <c r="E63" s="100" t="s">
        <v>116</v>
      </c>
      <c r="F63" s="218">
        <f>Ff+F_parallel+Force_applied_traverse</f>
        <v>0.74800000000000011</v>
      </c>
      <c r="G63" s="81" t="s">
        <v>9</v>
      </c>
      <c r="H63" s="194"/>
      <c r="I63" s="58">
        <f>ABS(Traverse_section)</f>
        <v>0.74800000000000011</v>
      </c>
      <c r="J63" s="41"/>
    </row>
    <row r="64" spans="2:13" ht="12" customHeight="1">
      <c r="B64" s="38"/>
      <c r="C64" s="380"/>
      <c r="D64" s="67" t="s">
        <v>18</v>
      </c>
      <c r="E64" s="101" t="s">
        <v>117</v>
      </c>
      <c r="F64" s="219">
        <f>-((Load + Slider_mass)/1000)*Deceleration+Ff+F_parallel+Force_applied_deceleration</f>
        <v>-1.0700555555555558</v>
      </c>
      <c r="G64" s="159" t="s">
        <v>9</v>
      </c>
      <c r="H64" s="194"/>
      <c r="I64" s="58">
        <f>ABS(Deceleration_section)</f>
        <v>1.0700555555555558</v>
      </c>
      <c r="J64" s="41"/>
    </row>
    <row r="65" spans="2:10" ht="12" customHeight="1" thickBot="1">
      <c r="B65" s="38"/>
      <c r="C65" s="380"/>
      <c r="D65" s="85" t="s">
        <v>32</v>
      </c>
      <c r="E65" s="93" t="s">
        <v>118</v>
      </c>
      <c r="F65" s="220">
        <f>IF(Incline_angle = 0,F_parallel+Force_applied_stop,IF(Ff &gt; F_parallel+Force_applied_stop,0,-Ff+F_parallel+Force_applied_stop))</f>
        <v>0</v>
      </c>
      <c r="G65" s="83" t="s">
        <v>9</v>
      </c>
      <c r="H65" s="194"/>
      <c r="I65" s="58">
        <f>ABS(Stop_section)</f>
        <v>0</v>
      </c>
      <c r="J65" s="41"/>
    </row>
    <row r="66" spans="2:10" ht="12" customHeight="1">
      <c r="B66" s="38"/>
      <c r="C66" s="379" t="s">
        <v>70</v>
      </c>
      <c r="D66" s="138" t="s">
        <v>11</v>
      </c>
      <c r="E66" s="139" t="s">
        <v>119</v>
      </c>
      <c r="F66" s="266">
        <f>t1b+t2b+t3b</f>
        <v>0.18</v>
      </c>
      <c r="G66" s="140" t="s">
        <v>5</v>
      </c>
      <c r="H66" s="194"/>
      <c r="I66" s="58"/>
      <c r="J66" s="41"/>
    </row>
    <row r="67" spans="2:10" ht="12" customHeight="1">
      <c r="B67" s="38"/>
      <c r="C67" s="380"/>
      <c r="D67" s="80" t="s">
        <v>12</v>
      </c>
      <c r="E67" s="95" t="s">
        <v>120</v>
      </c>
      <c r="F67" s="267">
        <f>tdb+t4b</f>
        <v>0.32999999999999996</v>
      </c>
      <c r="G67" s="81" t="s">
        <v>5</v>
      </c>
      <c r="H67" s="194"/>
      <c r="I67" s="58"/>
      <c r="J67" s="41"/>
    </row>
    <row r="68" spans="2:10" ht="12" customHeight="1">
      <c r="B68" s="38"/>
      <c r="C68" s="380"/>
      <c r="D68" s="141" t="s">
        <v>13</v>
      </c>
      <c r="E68" s="96" t="s">
        <v>121</v>
      </c>
      <c r="F68" s="167">
        <f>tdb/ttb*100</f>
        <v>54.545454545454554</v>
      </c>
      <c r="G68" s="65" t="s">
        <v>7</v>
      </c>
      <c r="H68" s="194"/>
      <c r="I68" s="58"/>
      <c r="J68" s="41"/>
    </row>
    <row r="69" spans="2:10" ht="12" customHeight="1">
      <c r="B69" s="38"/>
      <c r="C69" s="380"/>
      <c r="D69" s="80" t="s">
        <v>15</v>
      </c>
      <c r="E69" s="97" t="s">
        <v>122</v>
      </c>
      <c r="F69" s="373">
        <f>(sb/1000)/(t1b/2+t2b+t3b/2)</f>
        <v>0.29166666666666669</v>
      </c>
      <c r="G69" s="81" t="s">
        <v>8</v>
      </c>
      <c r="H69" s="194" t="str">
        <f>IF(Vb&lt;Vemax,"ok","HIGH")</f>
        <v>ok</v>
      </c>
      <c r="I69" s="58"/>
      <c r="J69" s="41"/>
    </row>
    <row r="70" spans="2:10" ht="12" customHeight="1">
      <c r="B70" s="38"/>
      <c r="C70" s="380"/>
      <c r="D70" s="64" t="s">
        <v>16</v>
      </c>
      <c r="E70" s="98" t="s">
        <v>123</v>
      </c>
      <c r="F70" s="374">
        <f>Vb/t1b</f>
        <v>4.8611111111111116</v>
      </c>
      <c r="G70" s="159" t="s">
        <v>23</v>
      </c>
      <c r="H70" s="194" t="str">
        <f>IF(ab&lt;aemax,"ok","HIGH")</f>
        <v>ok</v>
      </c>
      <c r="I70" s="58"/>
      <c r="J70" s="41"/>
    </row>
    <row r="71" spans="2:10" ht="12" customHeight="1">
      <c r="B71" s="38"/>
      <c r="C71" s="380"/>
      <c r="D71" s="78" t="s">
        <v>27</v>
      </c>
      <c r="E71" s="93" t="s">
        <v>124</v>
      </c>
      <c r="F71" s="376">
        <f>Vb/t3b</f>
        <v>4.8611111111111116</v>
      </c>
      <c r="G71" s="83" t="s">
        <v>23</v>
      </c>
      <c r="H71" s="194" t="str">
        <f>IF(db&lt;aemax,"ok","HIGH")</f>
        <v>ok</v>
      </c>
      <c r="I71" s="58"/>
      <c r="J71" s="41"/>
    </row>
    <row r="72" spans="2:10" ht="12" customHeight="1">
      <c r="B72" s="38"/>
      <c r="C72" s="380"/>
      <c r="D72" s="67" t="s">
        <v>61</v>
      </c>
      <c r="E72" s="101" t="s">
        <v>125</v>
      </c>
      <c r="F72" s="169">
        <f>((Load + Slider_mass)/1000)*ab+Ff-F_parallel+Fxab</f>
        <v>2.5660555555555558</v>
      </c>
      <c r="G72" s="159" t="s">
        <v>9</v>
      </c>
      <c r="H72" s="194"/>
      <c r="I72" s="58">
        <f>ABS(ft1b)</f>
        <v>2.5660555555555558</v>
      </c>
      <c r="J72" s="41"/>
    </row>
    <row r="73" spans="2:10" ht="12" customHeight="1">
      <c r="B73" s="38"/>
      <c r="C73" s="380"/>
      <c r="D73" s="84" t="s">
        <v>17</v>
      </c>
      <c r="E73" s="100" t="s">
        <v>126</v>
      </c>
      <c r="F73" s="172">
        <f>Ff-F_parallel+Fxtb</f>
        <v>0.74800000000000011</v>
      </c>
      <c r="G73" s="81" t="s">
        <v>9</v>
      </c>
      <c r="H73" s="194"/>
      <c r="I73" s="58">
        <f>ABS(Ft2b)</f>
        <v>0.74800000000000011</v>
      </c>
      <c r="J73" s="41"/>
    </row>
    <row r="74" spans="2:10" ht="12" customHeight="1">
      <c r="B74" s="38"/>
      <c r="C74" s="380"/>
      <c r="D74" s="67" t="s">
        <v>18</v>
      </c>
      <c r="E74" s="101" t="s">
        <v>127</v>
      </c>
      <c r="F74" s="168">
        <f>-((Load + Slider_mass)/1000)*db+Ff-F_parallel+Fxdb</f>
        <v>-1.0700555555555558</v>
      </c>
      <c r="G74" s="159" t="s">
        <v>9</v>
      </c>
      <c r="H74" s="194"/>
      <c r="I74" s="58">
        <f>ABS(Ft3b)</f>
        <v>1.0700555555555558</v>
      </c>
      <c r="J74" s="41"/>
    </row>
    <row r="75" spans="2:10" ht="12" customHeight="1" thickBot="1">
      <c r="B75" s="38"/>
      <c r="C75" s="381"/>
      <c r="D75" s="143" t="s">
        <v>32</v>
      </c>
      <c r="E75" s="144" t="s">
        <v>128</v>
      </c>
      <c r="F75" s="173">
        <f>IF(Incline_angle = 0,F_parallel+Fxsb,IF(Ff &gt; F_parallel+Fxsb,0,+Ff-F_parallel+Fxsb))</f>
        <v>0</v>
      </c>
      <c r="G75" s="123" t="s">
        <v>9</v>
      </c>
      <c r="H75" s="194"/>
      <c r="I75" s="58">
        <f>ABS(Ft4b)</f>
        <v>0</v>
      </c>
      <c r="J75" s="41"/>
    </row>
    <row r="76" spans="2:10" ht="12" customHeight="1">
      <c r="B76" s="38"/>
      <c r="C76" s="142"/>
      <c r="D76" s="156" t="s">
        <v>156</v>
      </c>
      <c r="E76" s="157" t="s">
        <v>129</v>
      </c>
      <c r="F76" s="174">
        <f>sf-sb</f>
        <v>0</v>
      </c>
      <c r="G76" s="158" t="s">
        <v>6</v>
      </c>
      <c r="H76" s="194"/>
      <c r="I76" s="58"/>
      <c r="J76" s="41"/>
    </row>
    <row r="77" spans="2:10" ht="12" customHeight="1">
      <c r="B77" s="38"/>
      <c r="D77" s="135" t="s">
        <v>53</v>
      </c>
      <c r="E77" s="175" t="s">
        <v>37</v>
      </c>
      <c r="F77" s="265">
        <f>MAX(I62:I75)</f>
        <v>2.5660555555555558</v>
      </c>
      <c r="G77" s="131" t="s">
        <v>38</v>
      </c>
      <c r="H77" s="194"/>
      <c r="J77" s="41"/>
    </row>
    <row r="78" spans="2:10" ht="12" customHeight="1">
      <c r="B78" s="38"/>
      <c r="D78" s="86" t="s">
        <v>74</v>
      </c>
      <c r="E78" s="161" t="s">
        <v>49</v>
      </c>
      <c r="F78" s="264">
        <f>SQRT((Accel_time*Acceleration_section^2+Traverse_time*Traverse_section^2+Decel_time*Deceleration_section^2+Dwell_time*Stop_section^2+t1b*ft1b^2+t2b*Ft2b^2+t3b*Ft3b^2+t4b*Ft4b^2)/((Accel_time+Traverse_time+Decel_time+Dwell_time+t1b+t2b+t3b+t4b)))</f>
        <v>1.227648454727599</v>
      </c>
      <c r="G78" s="124" t="s">
        <v>9</v>
      </c>
      <c r="H78" s="194" t="str">
        <f>IF(RMS_force&lt;Femax,"ok","HIGH")</f>
        <v>ok</v>
      </c>
      <c r="J78" s="41"/>
    </row>
    <row r="79" spans="2:10" ht="12" customHeight="1">
      <c r="B79" s="38"/>
      <c r="D79" s="176" t="s">
        <v>78</v>
      </c>
      <c r="E79" s="177" t="s">
        <v>50</v>
      </c>
      <c r="F79" s="261">
        <f>RMS_force/kf</f>
        <v>0.19092510959993764</v>
      </c>
      <c r="G79" s="130" t="s">
        <v>10</v>
      </c>
      <c r="H79" s="194" t="str">
        <f>IF(Cont_amps&lt;Iemax,"ok","HIGH")</f>
        <v>ok</v>
      </c>
      <c r="I79" s="22"/>
      <c r="J79" s="41"/>
    </row>
    <row r="80" spans="2:10" ht="12" customHeight="1">
      <c r="B80" s="38"/>
      <c r="D80" s="80" t="s">
        <v>79</v>
      </c>
      <c r="E80" s="97" t="s">
        <v>59</v>
      </c>
      <c r="F80" s="262">
        <f>MAX(Acceleration_section/kf,Deceleration_section/kf,ft1b/kf,Ft3b/kf)</f>
        <v>0.39907551408329017</v>
      </c>
      <c r="G80" s="81" t="s">
        <v>10</v>
      </c>
      <c r="H80" s="194" t="str">
        <f>IF(Ip&lt;F31,"ok","HIGH")</f>
        <v>ok</v>
      </c>
      <c r="I80" s="22"/>
      <c r="J80" s="41"/>
    </row>
    <row r="81" spans="1:12" ht="12" customHeight="1">
      <c r="B81" s="38"/>
      <c r="D81" s="176" t="s">
        <v>150</v>
      </c>
      <c r="E81" s="177" t="s">
        <v>146</v>
      </c>
      <c r="F81" s="261">
        <f>MAX((1.25*(KE*Max_speed)+Res*(1+0.0038*(T_c-Ta))*Acceleration_section/kf),(1.25*(KE*Max_speed)+Res*(1+0.0038*(T_c-Ta))*Deceleration_section/kf),(1.25*(KE*Vb)+Res*(1+0.0038*(T_c-Ta))*ft1b/kf),1.25*(KE*Vb)+Res*(1+0.0038*(T_c-Ta))*(Ft3b/kf))</f>
        <v>7.3521006713087953</v>
      </c>
      <c r="G81" s="130" t="s">
        <v>145</v>
      </c>
      <c r="H81" s="194" t="str">
        <f>IF(F81&lt;F30,"ok","HIGH")</f>
        <v>ok</v>
      </c>
      <c r="I81" s="22"/>
      <c r="J81" s="41"/>
    </row>
    <row r="82" spans="1:12" ht="12" customHeight="1" thickBot="1">
      <c r="B82" s="38"/>
      <c r="D82" s="201" t="s">
        <v>54</v>
      </c>
      <c r="E82" s="202" t="s">
        <v>42</v>
      </c>
      <c r="F82" s="263">
        <f>IF(I82&lt;150,(IF(I82&gt;0,I82,"TOO HIGH!")),"TOO HIGH!")</f>
        <v>32.123394542266077</v>
      </c>
      <c r="G82" s="123" t="s">
        <v>43</v>
      </c>
      <c r="H82" s="194" t="str">
        <f>IF(Tc&lt;126,"ok","HIGH")</f>
        <v>ok</v>
      </c>
      <c r="I82" s="268">
        <f>(Res*(_Rth1+((100-F29)/100)*_Rth2)*(Cont_amps*(SQRT(3)/SQRT(2)))^2*(1-0.0038*22)+Ta)/(1-0.0038*Res*(_Rth1+((100-F29)/100)*_Rth2)*(Cont_amps*(SQRT(3)/SQRT(2)))^2)</f>
        <v>32.123394542266077</v>
      </c>
      <c r="J82" s="41"/>
      <c r="L82" s="251"/>
    </row>
    <row r="83" spans="1:12" ht="12.75" customHeight="1">
      <c r="B83" s="38"/>
      <c r="D83" s="54"/>
      <c r="E83" s="102"/>
      <c r="F83" s="55"/>
      <c r="I83" s="22"/>
      <c r="J83" s="41"/>
    </row>
    <row r="84" spans="1:12" ht="12.75" customHeight="1">
      <c r="B84" s="38"/>
      <c r="F84" s="269"/>
      <c r="I84" s="16" t="s">
        <v>26</v>
      </c>
      <c r="J84" s="41"/>
    </row>
    <row r="85" spans="1:12" ht="12.75" customHeight="1" thickBot="1">
      <c r="B85" s="42"/>
      <c r="C85" s="116"/>
      <c r="D85" s="43"/>
      <c r="E85" s="43"/>
      <c r="F85" s="73"/>
      <c r="G85" s="43"/>
      <c r="H85" s="150"/>
      <c r="I85" s="44"/>
      <c r="J85" s="45"/>
    </row>
    <row r="86" spans="1:12" ht="12.75" customHeight="1" thickTop="1">
      <c r="A86" s="29"/>
      <c r="D86" s="22"/>
      <c r="F86" s="74"/>
      <c r="G86" s="22"/>
      <c r="I86" s="22"/>
    </row>
    <row r="87" spans="1:12" s="29" customFormat="1" ht="12.75" customHeight="1">
      <c r="A87" s="22"/>
      <c r="D87" s="20"/>
      <c r="E87" s="20"/>
      <c r="G87" s="30"/>
      <c r="H87" s="151"/>
      <c r="I87" s="31"/>
    </row>
    <row r="88" spans="1:12" ht="12.75" customHeight="1">
      <c r="D88" s="28"/>
      <c r="E88" s="162"/>
      <c r="F88" s="163"/>
      <c r="G88" s="162"/>
    </row>
    <row r="89" spans="1:12" ht="12.75" customHeight="1">
      <c r="D89" s="164"/>
      <c r="E89" s="162"/>
      <c r="F89" s="163"/>
      <c r="G89" s="162"/>
    </row>
    <row r="90" spans="1:12" ht="12.75" customHeight="1">
      <c r="D90" s="28"/>
      <c r="E90" s="162"/>
      <c r="F90" s="164"/>
      <c r="G90" s="162"/>
    </row>
    <row r="91" spans="1:12" ht="12.75" customHeight="1">
      <c r="D91" s="22"/>
      <c r="E91" s="162"/>
      <c r="F91" s="165"/>
      <c r="G91" s="166"/>
      <c r="I91" s="22"/>
    </row>
    <row r="92" spans="1:12" ht="12.75" customHeight="1">
      <c r="D92" s="22"/>
      <c r="E92" s="162"/>
      <c r="F92" s="165"/>
      <c r="G92" s="166"/>
      <c r="I92" s="22"/>
    </row>
    <row r="93" spans="1:12" ht="12.75" customHeight="1">
      <c r="D93" s="22"/>
      <c r="F93" s="74"/>
      <c r="G93" s="22"/>
      <c r="I93" s="22"/>
    </row>
    <row r="94" spans="1:12" ht="12.75" customHeight="1">
      <c r="D94" s="22"/>
      <c r="F94" s="74"/>
      <c r="G94" s="22"/>
      <c r="I94" s="22"/>
    </row>
  </sheetData>
  <sheetProtection password="EF63" sheet="1"/>
  <protectedRanges>
    <protectedRange sqref="F7:F31" name="Intervallo1"/>
    <protectedRange sqref="E34" name="Intervallo2"/>
  </protectedRanges>
  <dataConsolidate/>
  <mergeCells count="7">
    <mergeCell ref="C66:C75"/>
    <mergeCell ref="C20:C28"/>
    <mergeCell ref="E5:G5"/>
    <mergeCell ref="E47:G47"/>
    <mergeCell ref="C56:C65"/>
    <mergeCell ref="C11:C19"/>
    <mergeCell ref="E34:G34"/>
  </mergeCells>
  <phoneticPr fontId="0" type="noConversion"/>
  <dataValidations count="1">
    <dataValidation type="list" errorStyle="warning" allowBlank="1" showInputMessage="1" showErrorMessage="1" errorTitle="Choose Motor" error="Motor not in the list!" promptTitle="Choose Motor" sqref="E34:G34" xr:uid="{00000000-0002-0000-0100-000000000000}">
      <formula1>$I$31:$I$49</formula1>
    </dataValidation>
  </dataValidations>
  <printOptions horizontalCentered="1"/>
  <pageMargins left="0.32" right="0.17" top="0.78740157480314965" bottom="0.59055118110236227" header="0.51181102362204722" footer="0.39370078740157483"/>
  <pageSetup paperSize="9" scale="61" orientation="portrait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27"/>
  <sheetViews>
    <sheetView zoomScale="75" workbookViewId="0">
      <selection activeCell="H50" sqref="H50"/>
    </sheetView>
  </sheetViews>
  <sheetFormatPr defaultRowHeight="12.75"/>
  <cols>
    <col min="1" max="1" width="27.28515625" customWidth="1"/>
    <col min="4" max="5" width="15.140625" customWidth="1"/>
    <col min="6" max="7" width="15.5703125" customWidth="1"/>
    <col min="8" max="9" width="14.42578125" bestFit="1" customWidth="1"/>
    <col min="10" max="11" width="15.42578125" bestFit="1" customWidth="1"/>
    <col min="12" max="13" width="14.85546875" bestFit="1" customWidth="1"/>
    <col min="14" max="14" width="15.42578125" bestFit="1" customWidth="1"/>
    <col min="15" max="15" width="14.85546875" bestFit="1" customWidth="1"/>
    <col min="16" max="16" width="15.42578125" bestFit="1" customWidth="1"/>
    <col min="17" max="20" width="14.85546875" bestFit="1" customWidth="1"/>
  </cols>
  <sheetData>
    <row r="1" spans="1:20" ht="13.5" thickBot="1">
      <c r="A1" s="50" t="s">
        <v>72</v>
      </c>
      <c r="B1" s="221"/>
      <c r="C1" s="221"/>
      <c r="D1" s="221" t="s">
        <v>62</v>
      </c>
      <c r="E1" s="222"/>
    </row>
    <row r="2" spans="1:20" ht="13.5" thickBot="1">
      <c r="A2" s="275" t="s">
        <v>73</v>
      </c>
      <c r="B2" s="223"/>
      <c r="C2" s="223"/>
      <c r="D2" s="224" t="s">
        <v>159</v>
      </c>
      <c r="E2" s="223" t="s">
        <v>160</v>
      </c>
      <c r="F2" s="224" t="s">
        <v>161</v>
      </c>
      <c r="G2" s="223" t="s">
        <v>162</v>
      </c>
      <c r="H2" s="224" t="s">
        <v>163</v>
      </c>
      <c r="I2" s="223" t="s">
        <v>164</v>
      </c>
      <c r="J2" s="224" t="s">
        <v>165</v>
      </c>
      <c r="K2" s="224" t="s">
        <v>171</v>
      </c>
      <c r="L2" s="224" t="s">
        <v>166</v>
      </c>
      <c r="M2" s="224" t="s">
        <v>172</v>
      </c>
      <c r="N2" s="224" t="s">
        <v>173</v>
      </c>
      <c r="O2" s="224" t="s">
        <v>168</v>
      </c>
      <c r="P2" s="224" t="s">
        <v>169</v>
      </c>
      <c r="Q2" s="308" t="s">
        <v>176</v>
      </c>
      <c r="R2" s="308" t="s">
        <v>177</v>
      </c>
      <c r="S2" s="308" t="s">
        <v>178</v>
      </c>
      <c r="T2" s="308" t="s">
        <v>179</v>
      </c>
    </row>
    <row r="3" spans="1:20" ht="13.5" thickBot="1">
      <c r="A3" s="179" t="s">
        <v>0</v>
      </c>
      <c r="B3" s="180"/>
      <c r="C3" s="182" t="s">
        <v>1</v>
      </c>
      <c r="D3" s="225" t="s">
        <v>24</v>
      </c>
      <c r="E3" s="230" t="s">
        <v>24</v>
      </c>
      <c r="F3" s="225" t="s">
        <v>24</v>
      </c>
      <c r="G3" s="230" t="s">
        <v>24</v>
      </c>
      <c r="H3" s="225" t="s">
        <v>24</v>
      </c>
      <c r="I3" s="230" t="s">
        <v>24</v>
      </c>
      <c r="J3" s="225" t="s">
        <v>24</v>
      </c>
      <c r="K3" s="225" t="s">
        <v>24</v>
      </c>
      <c r="L3" s="225" t="s">
        <v>24</v>
      </c>
      <c r="M3" s="225" t="s">
        <v>24</v>
      </c>
      <c r="N3" s="225" t="s">
        <v>24</v>
      </c>
      <c r="O3" s="225" t="s">
        <v>24</v>
      </c>
      <c r="P3" s="225" t="s">
        <v>24</v>
      </c>
      <c r="Q3" s="225" t="s">
        <v>24</v>
      </c>
      <c r="R3" s="230" t="s">
        <v>24</v>
      </c>
      <c r="S3" s="225" t="s">
        <v>24</v>
      </c>
      <c r="T3" s="313" t="s">
        <v>24</v>
      </c>
    </row>
    <row r="4" spans="1:20">
      <c r="A4" s="276" t="s">
        <v>142</v>
      </c>
      <c r="B4" s="277" t="s">
        <v>80</v>
      </c>
      <c r="C4" s="278" t="s">
        <v>10</v>
      </c>
      <c r="D4" s="226">
        <v>1.66</v>
      </c>
      <c r="E4" s="152">
        <v>1.66</v>
      </c>
      <c r="F4" s="226">
        <v>1.66</v>
      </c>
      <c r="G4" s="152">
        <v>1.66</v>
      </c>
      <c r="H4" s="226">
        <v>1.66</v>
      </c>
      <c r="I4" s="152">
        <v>1.66</v>
      </c>
      <c r="J4" s="226">
        <v>2.37</v>
      </c>
      <c r="K4" s="226">
        <v>2.37</v>
      </c>
      <c r="L4" s="226">
        <v>2.37</v>
      </c>
      <c r="M4" s="226">
        <v>2.37</v>
      </c>
      <c r="N4" s="226">
        <v>2.37</v>
      </c>
      <c r="O4" s="226">
        <v>1.41</v>
      </c>
      <c r="P4" s="309">
        <v>1.41</v>
      </c>
      <c r="Q4" s="342">
        <v>1.48</v>
      </c>
      <c r="R4" s="342">
        <v>1.48</v>
      </c>
      <c r="S4" s="342">
        <v>1.48</v>
      </c>
      <c r="T4" s="342">
        <v>1.48</v>
      </c>
    </row>
    <row r="5" spans="1:20">
      <c r="A5" s="314" t="s">
        <v>81</v>
      </c>
      <c r="B5" s="315" t="s">
        <v>82</v>
      </c>
      <c r="C5" s="316" t="s">
        <v>157</v>
      </c>
      <c r="D5" s="317">
        <v>5.25</v>
      </c>
      <c r="E5" s="318">
        <v>5.25</v>
      </c>
      <c r="F5" s="317">
        <v>5.25</v>
      </c>
      <c r="G5" s="318">
        <v>5.25</v>
      </c>
      <c r="H5" s="317">
        <v>5.25</v>
      </c>
      <c r="I5" s="318">
        <v>5.25</v>
      </c>
      <c r="J5" s="317">
        <v>9.5</v>
      </c>
      <c r="K5" s="317">
        <v>9.5</v>
      </c>
      <c r="L5" s="317">
        <v>9.5</v>
      </c>
      <c r="M5" s="317">
        <v>9.5</v>
      </c>
      <c r="N5" s="317">
        <v>9.5</v>
      </c>
      <c r="O5" s="317">
        <v>1.58</v>
      </c>
      <c r="P5" s="319">
        <v>1.58</v>
      </c>
      <c r="Q5" s="343">
        <v>10.16</v>
      </c>
      <c r="R5" s="343">
        <v>10.16</v>
      </c>
      <c r="S5" s="343">
        <v>10.16</v>
      </c>
      <c r="T5" s="343">
        <v>10.16</v>
      </c>
    </row>
    <row r="6" spans="1:20">
      <c r="A6" s="281" t="s">
        <v>52</v>
      </c>
      <c r="B6" s="282" t="s">
        <v>153</v>
      </c>
      <c r="C6" s="283" t="s">
        <v>51</v>
      </c>
      <c r="D6" s="227">
        <v>6.43</v>
      </c>
      <c r="E6" s="153">
        <v>6.43</v>
      </c>
      <c r="F6" s="227">
        <v>6.43</v>
      </c>
      <c r="G6" s="153">
        <v>6.43</v>
      </c>
      <c r="H6" s="227">
        <v>6.43</v>
      </c>
      <c r="I6" s="153">
        <v>6.43</v>
      </c>
      <c r="J6" s="227">
        <v>11.64</v>
      </c>
      <c r="K6" s="227">
        <v>11.64</v>
      </c>
      <c r="L6" s="227">
        <v>11.64</v>
      </c>
      <c r="M6" s="227">
        <v>11.64</v>
      </c>
      <c r="N6" s="227">
        <v>11.64</v>
      </c>
      <c r="O6" s="227">
        <v>1.94</v>
      </c>
      <c r="P6" s="310">
        <v>1.94</v>
      </c>
      <c r="Q6" s="344">
        <v>12.44</v>
      </c>
      <c r="R6" s="344">
        <v>12.44</v>
      </c>
      <c r="S6" s="344">
        <v>12.44</v>
      </c>
      <c r="T6" s="344">
        <v>12.44</v>
      </c>
    </row>
    <row r="7" spans="1:20">
      <c r="A7" s="320" t="s">
        <v>58</v>
      </c>
      <c r="B7" s="321" t="s">
        <v>39</v>
      </c>
      <c r="C7" s="322" t="s">
        <v>174</v>
      </c>
      <c r="D7" s="323">
        <v>13.17</v>
      </c>
      <c r="E7" s="324">
        <v>13.17</v>
      </c>
      <c r="F7" s="323">
        <v>13.17</v>
      </c>
      <c r="G7" s="324">
        <v>13.17</v>
      </c>
      <c r="H7" s="323">
        <v>13.17</v>
      </c>
      <c r="I7" s="324">
        <v>13.17</v>
      </c>
      <c r="J7" s="323">
        <v>10.83</v>
      </c>
      <c r="K7" s="323">
        <v>10.83</v>
      </c>
      <c r="L7" s="323">
        <v>10.83</v>
      </c>
      <c r="M7" s="323">
        <v>10.83</v>
      </c>
      <c r="N7" s="323">
        <v>10.83</v>
      </c>
      <c r="O7" s="323">
        <v>7.37</v>
      </c>
      <c r="P7" s="325">
        <v>7.37</v>
      </c>
      <c r="Q7" s="343">
        <v>26.3</v>
      </c>
      <c r="R7" s="343">
        <v>26.3</v>
      </c>
      <c r="S7" s="343">
        <v>26.3</v>
      </c>
      <c r="T7" s="343">
        <v>26.3</v>
      </c>
    </row>
    <row r="8" spans="1:20">
      <c r="A8" s="286" t="s">
        <v>57</v>
      </c>
      <c r="B8" s="287" t="s">
        <v>35</v>
      </c>
      <c r="C8" s="283" t="s">
        <v>91</v>
      </c>
      <c r="D8" s="228">
        <v>20</v>
      </c>
      <c r="E8" s="154">
        <v>40</v>
      </c>
      <c r="F8" s="228">
        <v>60</v>
      </c>
      <c r="G8" s="154">
        <v>80</v>
      </c>
      <c r="H8" s="228">
        <v>100</v>
      </c>
      <c r="I8" s="154">
        <v>120</v>
      </c>
      <c r="J8" s="228">
        <v>40</v>
      </c>
      <c r="K8" s="228">
        <v>80</v>
      </c>
      <c r="L8" s="228">
        <v>120</v>
      </c>
      <c r="M8" s="228">
        <v>160</v>
      </c>
      <c r="N8" s="228">
        <v>220</v>
      </c>
      <c r="O8" s="228">
        <v>15</v>
      </c>
      <c r="P8" s="311">
        <v>40</v>
      </c>
      <c r="Q8" s="345">
        <v>20</v>
      </c>
      <c r="R8" s="345">
        <v>40</v>
      </c>
      <c r="S8" s="345">
        <v>60</v>
      </c>
      <c r="T8" s="345">
        <v>80</v>
      </c>
    </row>
    <row r="9" spans="1:20" ht="14.25">
      <c r="A9" s="314" t="s">
        <v>143</v>
      </c>
      <c r="B9" s="315" t="s">
        <v>83</v>
      </c>
      <c r="C9" s="326" t="s">
        <v>175</v>
      </c>
      <c r="D9" s="327">
        <v>198</v>
      </c>
      <c r="E9" s="328">
        <v>148.5</v>
      </c>
      <c r="F9" s="327">
        <v>127.3</v>
      </c>
      <c r="G9" s="328">
        <v>101.8</v>
      </c>
      <c r="H9" s="327">
        <v>91.4</v>
      </c>
      <c r="I9" s="328">
        <v>82.9</v>
      </c>
      <c r="J9" s="327">
        <v>93.9</v>
      </c>
      <c r="K9" s="327">
        <v>65.7</v>
      </c>
      <c r="L9" s="327">
        <v>54.8</v>
      </c>
      <c r="M9" s="327">
        <v>46</v>
      </c>
      <c r="N9" s="327">
        <v>36.799999999999997</v>
      </c>
      <c r="O9" s="327">
        <v>206.9</v>
      </c>
      <c r="P9" s="329">
        <v>147.80000000000001</v>
      </c>
      <c r="Q9" s="346">
        <v>220.7</v>
      </c>
      <c r="R9" s="346">
        <v>176.6</v>
      </c>
      <c r="S9" s="346">
        <v>158.5</v>
      </c>
      <c r="T9" s="346">
        <v>143.69999999999999</v>
      </c>
    </row>
    <row r="10" spans="1:20">
      <c r="A10" s="288" t="s">
        <v>84</v>
      </c>
      <c r="B10" s="282" t="s">
        <v>85</v>
      </c>
      <c r="C10" s="283" t="s">
        <v>8</v>
      </c>
      <c r="D10" s="227">
        <v>2</v>
      </c>
      <c r="E10" s="153">
        <v>2.4</v>
      </c>
      <c r="F10" s="227">
        <v>2.8</v>
      </c>
      <c r="G10" s="153">
        <v>2.9</v>
      </c>
      <c r="H10" s="227">
        <v>3</v>
      </c>
      <c r="I10" s="153">
        <v>3.2</v>
      </c>
      <c r="J10" s="227">
        <v>1.9</v>
      </c>
      <c r="K10" s="227">
        <v>2.2999999999999998</v>
      </c>
      <c r="L10" s="227">
        <v>2.6</v>
      </c>
      <c r="M10" s="227">
        <v>2.7</v>
      </c>
      <c r="N10" s="227">
        <v>2.8</v>
      </c>
      <c r="O10" s="227">
        <v>1.8</v>
      </c>
      <c r="P10" s="310">
        <v>2.4</v>
      </c>
      <c r="Q10" s="344">
        <v>2.1</v>
      </c>
      <c r="R10" s="344">
        <v>2.7</v>
      </c>
      <c r="S10" s="344">
        <v>3.1</v>
      </c>
      <c r="T10" s="344">
        <v>3.4</v>
      </c>
    </row>
    <row r="11" spans="1:20">
      <c r="A11" s="330" t="s">
        <v>55</v>
      </c>
      <c r="B11" s="331" t="s">
        <v>40</v>
      </c>
      <c r="C11" s="332" t="s">
        <v>158</v>
      </c>
      <c r="D11" s="333">
        <v>3.2</v>
      </c>
      <c r="E11" s="334">
        <v>3.2</v>
      </c>
      <c r="F11" s="333">
        <v>3.2</v>
      </c>
      <c r="G11" s="334">
        <v>3.2</v>
      </c>
      <c r="H11" s="333">
        <v>3.2</v>
      </c>
      <c r="I11" s="334">
        <v>3.2</v>
      </c>
      <c r="J11" s="333">
        <v>3.1</v>
      </c>
      <c r="K11" s="333">
        <v>3.1</v>
      </c>
      <c r="L11" s="333">
        <v>3.1</v>
      </c>
      <c r="M11" s="333">
        <v>3.1</v>
      </c>
      <c r="N11" s="333">
        <v>3.1</v>
      </c>
      <c r="O11" s="333">
        <v>6.6</v>
      </c>
      <c r="P11" s="335">
        <v>6.6</v>
      </c>
      <c r="Q11" s="343">
        <v>1.97</v>
      </c>
      <c r="R11" s="343">
        <v>1.97</v>
      </c>
      <c r="S11" s="343">
        <v>1.97</v>
      </c>
      <c r="T11" s="343">
        <v>1.97</v>
      </c>
    </row>
    <row r="12" spans="1:20">
      <c r="A12" s="291" t="s">
        <v>56</v>
      </c>
      <c r="B12" s="292" t="s">
        <v>41</v>
      </c>
      <c r="C12" s="278" t="s">
        <v>158</v>
      </c>
      <c r="D12" s="229">
        <v>20</v>
      </c>
      <c r="E12" s="155">
        <v>20</v>
      </c>
      <c r="F12" s="229">
        <v>20</v>
      </c>
      <c r="G12" s="155">
        <v>20</v>
      </c>
      <c r="H12" s="229">
        <v>20</v>
      </c>
      <c r="I12" s="155">
        <v>20</v>
      </c>
      <c r="J12" s="229">
        <v>9.3000000000000007</v>
      </c>
      <c r="K12" s="229">
        <v>9.3000000000000007</v>
      </c>
      <c r="L12" s="229">
        <v>9.3000000000000007</v>
      </c>
      <c r="M12" s="229">
        <v>9.3000000000000007</v>
      </c>
      <c r="N12" s="229">
        <v>9.3000000000000007</v>
      </c>
      <c r="O12" s="229">
        <v>37.4</v>
      </c>
      <c r="P12" s="312">
        <v>37.4</v>
      </c>
      <c r="Q12" s="344">
        <v>12.5</v>
      </c>
      <c r="R12" s="344">
        <v>12.5</v>
      </c>
      <c r="S12" s="344">
        <v>12.5</v>
      </c>
      <c r="T12" s="344">
        <v>12.5</v>
      </c>
    </row>
    <row r="13" spans="1:20" ht="13.5" thickBot="1">
      <c r="A13" s="336" t="s">
        <v>86</v>
      </c>
      <c r="B13" s="337" t="s">
        <v>87</v>
      </c>
      <c r="C13" s="338" t="s">
        <v>88</v>
      </c>
      <c r="D13" s="339">
        <v>18</v>
      </c>
      <c r="E13" s="340">
        <v>24</v>
      </c>
      <c r="F13" s="339">
        <v>28</v>
      </c>
      <c r="G13" s="340">
        <v>35</v>
      </c>
      <c r="H13" s="339">
        <v>39</v>
      </c>
      <c r="I13" s="340">
        <v>43</v>
      </c>
      <c r="J13" s="339">
        <v>98</v>
      </c>
      <c r="K13" s="339">
        <v>140</v>
      </c>
      <c r="L13" s="339">
        <v>168</v>
      </c>
      <c r="M13" s="339">
        <v>200</v>
      </c>
      <c r="N13" s="339">
        <v>250</v>
      </c>
      <c r="O13" s="339">
        <v>5</v>
      </c>
      <c r="P13" s="341">
        <v>7</v>
      </c>
      <c r="Q13" s="347">
        <v>28</v>
      </c>
      <c r="R13" s="347">
        <v>35</v>
      </c>
      <c r="S13" s="347">
        <v>39</v>
      </c>
      <c r="T13" s="347">
        <v>43</v>
      </c>
    </row>
    <row r="14" spans="1:20" ht="13.5" thickBot="1">
      <c r="P14" s="306"/>
      <c r="Q14" s="306"/>
    </row>
    <row r="15" spans="1:20" ht="13.5" thickBot="1">
      <c r="D15" s="349" t="s">
        <v>180</v>
      </c>
      <c r="M15" s="306"/>
    </row>
    <row r="16" spans="1:20" ht="13.5" thickBot="1">
      <c r="A16" s="179" t="s">
        <v>0</v>
      </c>
      <c r="B16" s="180"/>
      <c r="C16" s="182" t="s">
        <v>1</v>
      </c>
      <c r="D16" s="350" t="s">
        <v>24</v>
      </c>
      <c r="M16" s="306"/>
    </row>
    <row r="17" spans="1:17">
      <c r="A17" s="302" t="s">
        <v>142</v>
      </c>
      <c r="B17" s="303" t="s">
        <v>80</v>
      </c>
      <c r="C17" s="304" t="s">
        <v>10</v>
      </c>
      <c r="D17" s="351">
        <v>1</v>
      </c>
      <c r="M17" s="306"/>
    </row>
    <row r="18" spans="1:17">
      <c r="A18" s="279" t="s">
        <v>81</v>
      </c>
      <c r="B18" s="280" t="s">
        <v>82</v>
      </c>
      <c r="C18" s="296" t="s">
        <v>157</v>
      </c>
      <c r="D18" s="352">
        <v>5</v>
      </c>
      <c r="M18" s="306"/>
    </row>
    <row r="19" spans="1:17">
      <c r="A19" s="281" t="s">
        <v>52</v>
      </c>
      <c r="B19" s="282" t="s">
        <v>153</v>
      </c>
      <c r="C19" s="297" t="s">
        <v>51</v>
      </c>
      <c r="D19" s="353">
        <v>6</v>
      </c>
      <c r="M19" s="306"/>
    </row>
    <row r="20" spans="1:17">
      <c r="A20" s="284" t="s">
        <v>58</v>
      </c>
      <c r="B20" s="285" t="s">
        <v>39</v>
      </c>
      <c r="C20" s="298" t="s">
        <v>174</v>
      </c>
      <c r="D20" s="354">
        <v>10</v>
      </c>
      <c r="M20" s="306"/>
    </row>
    <row r="21" spans="1:17">
      <c r="A21" s="286" t="s">
        <v>57</v>
      </c>
      <c r="B21" s="287" t="s">
        <v>35</v>
      </c>
      <c r="C21" s="297" t="s">
        <v>91</v>
      </c>
      <c r="D21" s="355">
        <v>10</v>
      </c>
      <c r="M21" s="306"/>
    </row>
    <row r="22" spans="1:17" ht="14.25">
      <c r="A22" s="279" t="s">
        <v>143</v>
      </c>
      <c r="B22" s="280" t="s">
        <v>83</v>
      </c>
      <c r="C22" s="299" t="s">
        <v>175</v>
      </c>
      <c r="D22" s="356">
        <v>200</v>
      </c>
      <c r="M22" s="306"/>
    </row>
    <row r="23" spans="1:17">
      <c r="A23" s="288" t="s">
        <v>84</v>
      </c>
      <c r="B23" s="282" t="s">
        <v>85</v>
      </c>
      <c r="C23" s="297" t="s">
        <v>8</v>
      </c>
      <c r="D23" s="353">
        <v>2</v>
      </c>
      <c r="M23" s="306"/>
    </row>
    <row r="24" spans="1:17">
      <c r="A24" s="289" t="s">
        <v>55</v>
      </c>
      <c r="B24" s="290" t="s">
        <v>40</v>
      </c>
      <c r="C24" s="300" t="s">
        <v>158</v>
      </c>
      <c r="D24" s="357">
        <v>3</v>
      </c>
      <c r="M24" s="306"/>
    </row>
    <row r="25" spans="1:17">
      <c r="A25" s="291" t="s">
        <v>56</v>
      </c>
      <c r="B25" s="292" t="s">
        <v>41</v>
      </c>
      <c r="C25" s="295" t="s">
        <v>158</v>
      </c>
      <c r="D25" s="358">
        <v>22</v>
      </c>
      <c r="M25" s="306"/>
    </row>
    <row r="26" spans="1:17" ht="13.5" thickBot="1">
      <c r="A26" s="293" t="s">
        <v>86</v>
      </c>
      <c r="B26" s="294" t="s">
        <v>87</v>
      </c>
      <c r="C26" s="301" t="s">
        <v>88</v>
      </c>
      <c r="D26" s="359">
        <v>15</v>
      </c>
      <c r="M26" s="306"/>
      <c r="N26" s="306"/>
    </row>
    <row r="27" spans="1:17">
      <c r="D27" s="348" t="s">
        <v>181</v>
      </c>
      <c r="E27" s="306"/>
      <c r="F27" s="306"/>
      <c r="G27" s="306"/>
      <c r="H27" s="306"/>
      <c r="I27" s="306"/>
      <c r="J27" s="306"/>
      <c r="K27" s="306"/>
      <c r="L27" s="306"/>
      <c r="M27" s="306"/>
      <c r="N27" s="306"/>
      <c r="O27" s="307"/>
      <c r="P27" s="306"/>
      <c r="Q27" s="306"/>
    </row>
  </sheetData>
  <phoneticPr fontId="5" type="noConversion"/>
  <pageMargins left="0.75" right="0.75" top="1" bottom="1" header="0.5" footer="0.5"/>
  <pageSetup paperSize="9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V35"/>
  <sheetViews>
    <sheetView workbookViewId="0">
      <selection activeCell="J34" sqref="J34"/>
    </sheetView>
  </sheetViews>
  <sheetFormatPr defaultColWidth="8.85546875" defaultRowHeight="12.75"/>
  <cols>
    <col min="1" max="1" width="9.140625" style="3" customWidth="1"/>
    <col min="2" max="2" width="10.42578125" style="183" customWidth="1"/>
    <col min="3" max="4" width="8.85546875" customWidth="1"/>
    <col min="5" max="8" width="7.7109375" style="187" customWidth="1"/>
    <col min="9" max="9" width="15" customWidth="1"/>
    <col min="10" max="10" width="7.5703125" style="3" customWidth="1"/>
    <col min="11" max="11" width="7.5703125" style="2" customWidth="1"/>
    <col min="12" max="12" width="8.5703125" customWidth="1"/>
    <col min="13" max="14" width="9.140625" style="1" customWidth="1"/>
  </cols>
  <sheetData>
    <row r="1" spans="1:22" ht="26.1" customHeight="1">
      <c r="A1" s="104" t="s">
        <v>64</v>
      </c>
    </row>
    <row r="2" spans="1:22">
      <c r="B2" s="183" t="s">
        <v>19</v>
      </c>
      <c r="C2" s="3" t="s">
        <v>14</v>
      </c>
      <c r="E2" s="189" t="s">
        <v>19</v>
      </c>
      <c r="F2" s="188" t="s">
        <v>19</v>
      </c>
      <c r="G2" s="191" t="s">
        <v>35</v>
      </c>
      <c r="H2" s="184" t="s">
        <v>35</v>
      </c>
      <c r="I2" s="3"/>
      <c r="J2" s="3" t="s">
        <v>19</v>
      </c>
      <c r="K2" s="2" t="s">
        <v>20</v>
      </c>
      <c r="M2" s="1" t="s">
        <v>19</v>
      </c>
      <c r="N2" s="1" t="s">
        <v>20</v>
      </c>
      <c r="O2" s="1" t="s">
        <v>76</v>
      </c>
      <c r="P2" s="1" t="s">
        <v>97</v>
      </c>
      <c r="Q2" s="1" t="s">
        <v>98</v>
      </c>
      <c r="V2" s="1"/>
    </row>
    <row r="3" spans="1:22">
      <c r="A3" s="145">
        <v>0</v>
      </c>
      <c r="B3" s="184">
        <v>0</v>
      </c>
      <c r="C3" s="145">
        <v>0</v>
      </c>
      <c r="E3" s="190">
        <v>0</v>
      </c>
      <c r="F3" s="184">
        <v>0</v>
      </c>
      <c r="G3" s="187">
        <f>Acceleration*E3*E3/2</f>
        <v>0</v>
      </c>
      <c r="H3" s="188">
        <f>G3*1000</f>
        <v>0</v>
      </c>
      <c r="J3" s="145">
        <v>0</v>
      </c>
      <c r="K3" s="186">
        <v>0</v>
      </c>
      <c r="M3" s="145">
        <v>0</v>
      </c>
      <c r="N3" s="145">
        <f>RMS_force</f>
        <v>1.227648454727599</v>
      </c>
      <c r="O3" s="185">
        <f>Femax</f>
        <v>3.5462277746419688</v>
      </c>
      <c r="P3" s="185">
        <f>-Q3</f>
        <v>-10.673799999999998</v>
      </c>
      <c r="Q3" s="185">
        <f>Fpmax</f>
        <v>10.673799999999998</v>
      </c>
      <c r="V3" s="3"/>
    </row>
    <row r="4" spans="1:22">
      <c r="A4" s="145" t="s">
        <v>92</v>
      </c>
      <c r="B4" s="184">
        <f>Accel_time</f>
        <v>0.06</v>
      </c>
      <c r="C4" s="145">
        <f>Max_speed</f>
        <v>0.29166666666666669</v>
      </c>
      <c r="D4">
        <v>1</v>
      </c>
      <c r="E4" s="187">
        <f>E7*1/4</f>
        <v>1.4999999999999999E-2</v>
      </c>
      <c r="F4" s="188">
        <f>F7*1/4</f>
        <v>1.4999999999999999E-2</v>
      </c>
      <c r="G4" s="187">
        <f>Acceleration*E4*E4/2</f>
        <v>5.4687500000000005E-4</v>
      </c>
      <c r="H4" s="188">
        <f>G4*1000</f>
        <v>0.546875</v>
      </c>
      <c r="J4" s="145">
        <v>0</v>
      </c>
      <c r="K4" s="186">
        <f>Acceleration_section</f>
        <v>2.5660555555555558</v>
      </c>
      <c r="M4" s="145">
        <f>ttf+ttb</f>
        <v>0.65999999999999992</v>
      </c>
      <c r="N4" s="145">
        <f>RMS_force</f>
        <v>1.227648454727599</v>
      </c>
      <c r="O4" s="185">
        <f>Femax</f>
        <v>3.5462277746419688</v>
      </c>
      <c r="P4" s="185">
        <f>-Q4</f>
        <v>-10.673799999999998</v>
      </c>
      <c r="Q4" s="185">
        <f>Fpmax</f>
        <v>10.673799999999998</v>
      </c>
      <c r="V4" s="146"/>
    </row>
    <row r="5" spans="1:22">
      <c r="A5" s="145" t="s">
        <v>93</v>
      </c>
      <c r="B5" s="184">
        <f>Accel_time+Traverse_time</f>
        <v>0.12</v>
      </c>
      <c r="C5" s="145">
        <f>Max_speed</f>
        <v>0.29166666666666669</v>
      </c>
      <c r="D5">
        <v>1</v>
      </c>
      <c r="E5" s="187">
        <f>E7*2/4</f>
        <v>0.03</v>
      </c>
      <c r="F5" s="188">
        <f>F7*2/4</f>
        <v>0.03</v>
      </c>
      <c r="G5" s="187">
        <f>Acceleration*E5*E5/2</f>
        <v>2.1875000000000002E-3</v>
      </c>
      <c r="H5" s="188">
        <f>G5*1000</f>
        <v>2.1875</v>
      </c>
      <c r="J5" s="145">
        <f>Accel_time</f>
        <v>0.06</v>
      </c>
      <c r="K5" s="186">
        <f>Acceleration_section</f>
        <v>2.5660555555555558</v>
      </c>
      <c r="M5" s="3"/>
    </row>
    <row r="6" spans="1:22">
      <c r="A6" s="145" t="s">
        <v>95</v>
      </c>
      <c r="B6" s="184">
        <f>tdf</f>
        <v>0.18</v>
      </c>
      <c r="C6" s="145">
        <v>0</v>
      </c>
      <c r="D6">
        <v>1</v>
      </c>
      <c r="E6" s="187">
        <f>E7*3/4</f>
        <v>4.4999999999999998E-2</v>
      </c>
      <c r="F6" s="188">
        <f>F7*3/4</f>
        <v>4.4999999999999998E-2</v>
      </c>
      <c r="G6" s="187">
        <f>Acceleration*E6*E6/2</f>
        <v>4.921875E-3</v>
      </c>
      <c r="H6" s="188">
        <f>G6*1000</f>
        <v>4.921875</v>
      </c>
      <c r="J6" s="145">
        <f>Accel_time</f>
        <v>0.06</v>
      </c>
      <c r="K6" s="186">
        <f>Traverse_section</f>
        <v>0.74800000000000011</v>
      </c>
      <c r="M6" s="3"/>
    </row>
    <row r="7" spans="1:22">
      <c r="A7" s="145" t="s">
        <v>94</v>
      </c>
      <c r="B7" s="184">
        <f>ttf</f>
        <v>0.32999999999999996</v>
      </c>
      <c r="C7" s="145">
        <v>0</v>
      </c>
      <c r="D7">
        <v>1</v>
      </c>
      <c r="E7" s="192">
        <f>Accel_time</f>
        <v>0.06</v>
      </c>
      <c r="F7" s="193">
        <f>Accel_time</f>
        <v>0.06</v>
      </c>
      <c r="G7" s="192">
        <f>(Acceleration*E7*E7)/2</f>
        <v>8.7500000000000008E-3</v>
      </c>
      <c r="H7" s="193">
        <f>G7*1000</f>
        <v>8.75</v>
      </c>
      <c r="J7" s="145">
        <f>Accel_time+Traverse_time</f>
        <v>0.12</v>
      </c>
      <c r="K7" s="186">
        <f>Traverse_section</f>
        <v>0.74800000000000011</v>
      </c>
      <c r="M7" s="3"/>
    </row>
    <row r="8" spans="1:22">
      <c r="A8" s="145" t="s">
        <v>92</v>
      </c>
      <c r="B8" s="184">
        <f>ttf+t1b</f>
        <v>0.38999999999999996</v>
      </c>
      <c r="C8" s="145">
        <f>-Vb</f>
        <v>-0.29166666666666669</v>
      </c>
      <c r="D8">
        <v>2</v>
      </c>
      <c r="E8" s="187">
        <f>(Traverse_time*(1/4))</f>
        <v>1.4999999999999999E-2</v>
      </c>
      <c r="F8" s="188">
        <f>F7+(Traverse_time*(1/4))</f>
        <v>7.4999999999999997E-2</v>
      </c>
      <c r="G8" s="187">
        <f>(Max_speed*(E8))+G7</f>
        <v>1.3125000000000001E-2</v>
      </c>
      <c r="H8" s="188">
        <f t="shared" ref="H8:H35" si="0">G8*1000</f>
        <v>13.125000000000002</v>
      </c>
      <c r="J8" s="145">
        <f>Accel_time+Traverse_time</f>
        <v>0.12</v>
      </c>
      <c r="K8" s="186">
        <f>Deceleration_section</f>
        <v>-1.0700555555555558</v>
      </c>
      <c r="M8" s="3"/>
    </row>
    <row r="9" spans="1:22">
      <c r="A9" s="145" t="s">
        <v>93</v>
      </c>
      <c r="B9" s="184">
        <f>ttf+t1b+t2b</f>
        <v>0.44999999999999996</v>
      </c>
      <c r="C9" s="145">
        <f>-Vb</f>
        <v>-0.29166666666666669</v>
      </c>
      <c r="D9">
        <v>2</v>
      </c>
      <c r="E9" s="187">
        <f>(Traverse_time*(1/4))</f>
        <v>1.4999999999999999E-2</v>
      </c>
      <c r="F9" s="188">
        <f>F8+(Traverse_time*(1/4))</f>
        <v>0.09</v>
      </c>
      <c r="G9" s="187">
        <f>(Max_speed*(E9))+G8</f>
        <v>1.7500000000000002E-2</v>
      </c>
      <c r="H9" s="188">
        <f t="shared" si="0"/>
        <v>17.5</v>
      </c>
      <c r="J9" s="145">
        <f>tdf</f>
        <v>0.18</v>
      </c>
      <c r="K9" s="186">
        <f>Deceleration_section</f>
        <v>-1.0700555555555558</v>
      </c>
      <c r="M9" s="3"/>
    </row>
    <row r="10" spans="1:22">
      <c r="A10" s="145" t="s">
        <v>95</v>
      </c>
      <c r="B10" s="184">
        <f>ttf+tdb</f>
        <v>0.51</v>
      </c>
      <c r="C10" s="145">
        <v>0</v>
      </c>
      <c r="D10">
        <v>2</v>
      </c>
      <c r="E10" s="187">
        <f>(Traverse_time*(1/4))</f>
        <v>1.4999999999999999E-2</v>
      </c>
      <c r="F10" s="188">
        <f>F9+(Traverse_time*(1/4))</f>
        <v>0.105</v>
      </c>
      <c r="G10" s="187">
        <f>(Max_speed*(E10))+G9</f>
        <v>2.1875000000000002E-2</v>
      </c>
      <c r="H10" s="188">
        <f t="shared" si="0"/>
        <v>21.875000000000004</v>
      </c>
      <c r="J10" s="145">
        <f>tdf</f>
        <v>0.18</v>
      </c>
      <c r="K10" s="186">
        <f>Stop_section</f>
        <v>0</v>
      </c>
      <c r="M10" s="3"/>
    </row>
    <row r="11" spans="1:22">
      <c r="A11" s="145" t="s">
        <v>94</v>
      </c>
      <c r="B11" s="184">
        <f>ttf+ttb</f>
        <v>0.65999999999999992</v>
      </c>
      <c r="C11" s="145">
        <v>0</v>
      </c>
      <c r="D11">
        <v>2</v>
      </c>
      <c r="E11" s="192">
        <f>(Traverse_time*(1/4))</f>
        <v>1.4999999999999999E-2</v>
      </c>
      <c r="F11" s="193">
        <f>F10+(Traverse_time*(1/4))</f>
        <v>0.12</v>
      </c>
      <c r="G11" s="192">
        <f>(Max_speed*(E11))+G10</f>
        <v>2.6250000000000002E-2</v>
      </c>
      <c r="H11" s="193">
        <f t="shared" si="0"/>
        <v>26.250000000000004</v>
      </c>
      <c r="J11" s="145">
        <f>ttf</f>
        <v>0.32999999999999996</v>
      </c>
      <c r="K11" s="186">
        <f>Stop_section</f>
        <v>0</v>
      </c>
      <c r="M11" s="3"/>
    </row>
    <row r="12" spans="1:22">
      <c r="D12">
        <v>3</v>
      </c>
      <c r="E12" s="187">
        <f>Decel_time*1/4</f>
        <v>1.4999999999999999E-2</v>
      </c>
      <c r="F12" s="188">
        <f>F11+(Decel_time*(1/4))</f>
        <v>0.13500000000000001</v>
      </c>
      <c r="G12" s="187">
        <f>$G$11+(E12*E12*Deceleration)/2+(Max_speed-Deceleration*E12)*E12</f>
        <v>3.0078125000000001E-2</v>
      </c>
      <c r="H12" s="188">
        <f t="shared" si="0"/>
        <v>30.078125</v>
      </c>
      <c r="J12" s="145">
        <f>ttf</f>
        <v>0.32999999999999996</v>
      </c>
      <c r="K12" s="186">
        <f>ft1b</f>
        <v>2.5660555555555558</v>
      </c>
      <c r="M12" s="3"/>
    </row>
    <row r="13" spans="1:22">
      <c r="D13">
        <v>3</v>
      </c>
      <c r="E13" s="187">
        <f>Decel_time*2/4</f>
        <v>0.03</v>
      </c>
      <c r="F13" s="188">
        <f>F12+(Decel_time*(1/4))</f>
        <v>0.15000000000000002</v>
      </c>
      <c r="G13" s="187">
        <f>$G$11+(E13*E13*Deceleration)/2+(Max_speed-Deceleration*E13)*E13</f>
        <v>3.2812500000000008E-2</v>
      </c>
      <c r="H13" s="188">
        <f t="shared" si="0"/>
        <v>32.812500000000007</v>
      </c>
      <c r="J13" s="145">
        <f>ttf+t1b</f>
        <v>0.38999999999999996</v>
      </c>
      <c r="K13" s="186">
        <f>ft1b</f>
        <v>2.5660555555555558</v>
      </c>
      <c r="M13" s="3"/>
    </row>
    <row r="14" spans="1:22">
      <c r="D14">
        <v>3</v>
      </c>
      <c r="E14" s="187">
        <f>Decel_time*3/4</f>
        <v>4.4999999999999998E-2</v>
      </c>
      <c r="F14" s="188">
        <f>F13+(Decel_time*(1/4))</f>
        <v>0.16500000000000004</v>
      </c>
      <c r="G14" s="187">
        <f>$G$11+(E14*E14*Deceleration)/2+(Max_speed-Deceleration*E14)*E14</f>
        <v>3.4453125000000001E-2</v>
      </c>
      <c r="H14" s="188">
        <f t="shared" si="0"/>
        <v>34.453125</v>
      </c>
      <c r="J14" s="145">
        <f>ttf+t1b</f>
        <v>0.38999999999999996</v>
      </c>
      <c r="K14" s="186">
        <f>Ft2b</f>
        <v>0.74800000000000011</v>
      </c>
    </row>
    <row r="15" spans="1:22">
      <c r="D15">
        <v>3</v>
      </c>
      <c r="E15" s="192">
        <f>Decel_time*4/4</f>
        <v>0.06</v>
      </c>
      <c r="F15" s="193">
        <f>F14+(Decel_time*(1/4))</f>
        <v>0.18000000000000005</v>
      </c>
      <c r="G15" s="192">
        <f>$G$11+(E15*E15*Deceleration)/2+(Max_speed-Deceleration*E15)*E15</f>
        <v>3.5000000000000003E-2</v>
      </c>
      <c r="H15" s="193">
        <f t="shared" si="0"/>
        <v>35</v>
      </c>
      <c r="J15" s="145">
        <f>ttf+t1b+t2b</f>
        <v>0.44999999999999996</v>
      </c>
      <c r="K15" s="186">
        <f>Ft2b</f>
        <v>0.74800000000000011</v>
      </c>
    </row>
    <row r="16" spans="1:22">
      <c r="D16">
        <v>4</v>
      </c>
      <c r="E16" s="187">
        <f>Dwell_time</f>
        <v>0.15</v>
      </c>
      <c r="F16" s="188">
        <f>F15+Dwell_time*1/4</f>
        <v>0.21750000000000005</v>
      </c>
      <c r="G16" s="187">
        <f>G15</f>
        <v>3.5000000000000003E-2</v>
      </c>
      <c r="H16" s="188">
        <f t="shared" si="0"/>
        <v>35</v>
      </c>
      <c r="J16" s="145">
        <f>ttf+t1b+t2b</f>
        <v>0.44999999999999996</v>
      </c>
      <c r="K16" s="186">
        <f>Ft3b</f>
        <v>-1.0700555555555558</v>
      </c>
    </row>
    <row r="17" spans="4:11">
      <c r="D17">
        <v>4</v>
      </c>
      <c r="E17" s="187">
        <f>Dwell_time</f>
        <v>0.15</v>
      </c>
      <c r="F17" s="188">
        <f>F16+Dwell_time*1/4</f>
        <v>0.25500000000000006</v>
      </c>
      <c r="G17" s="187">
        <f>G16</f>
        <v>3.5000000000000003E-2</v>
      </c>
      <c r="H17" s="188">
        <f t="shared" si="0"/>
        <v>35</v>
      </c>
      <c r="J17" s="145">
        <f>ttf+tdb</f>
        <v>0.51</v>
      </c>
      <c r="K17" s="186">
        <f>Ft3b</f>
        <v>-1.0700555555555558</v>
      </c>
    </row>
    <row r="18" spans="4:11">
      <c r="D18">
        <v>4</v>
      </c>
      <c r="E18" s="187">
        <f>Dwell_time</f>
        <v>0.15</v>
      </c>
      <c r="F18" s="188">
        <f>F17+Dwell_time*1/4</f>
        <v>0.29250000000000004</v>
      </c>
      <c r="G18" s="187">
        <f>G17</f>
        <v>3.5000000000000003E-2</v>
      </c>
      <c r="H18" s="188">
        <f t="shared" si="0"/>
        <v>35</v>
      </c>
      <c r="J18" s="145">
        <f>ttf+tdb</f>
        <v>0.51</v>
      </c>
      <c r="K18" s="186">
        <f>Ft4b</f>
        <v>0</v>
      </c>
    </row>
    <row r="19" spans="4:11">
      <c r="D19">
        <v>4</v>
      </c>
      <c r="E19" s="192">
        <f>Dwell_time</f>
        <v>0.15</v>
      </c>
      <c r="F19" s="193">
        <f>F18+Dwell_time*1/4</f>
        <v>0.33</v>
      </c>
      <c r="G19" s="192">
        <f>G18</f>
        <v>3.5000000000000003E-2</v>
      </c>
      <c r="H19" s="193">
        <f t="shared" si="0"/>
        <v>35</v>
      </c>
      <c r="J19" s="145">
        <f>ttf+ttb</f>
        <v>0.65999999999999992</v>
      </c>
      <c r="K19" s="186">
        <f>Ft4b</f>
        <v>0</v>
      </c>
    </row>
    <row r="20" spans="4:11">
      <c r="D20">
        <v>5</v>
      </c>
      <c r="E20" s="187">
        <f>(t1b*(1/4))</f>
        <v>1.4999999999999999E-2</v>
      </c>
      <c r="F20" s="188">
        <f>F19+t1b*1/4</f>
        <v>0.34500000000000003</v>
      </c>
      <c r="G20" s="187">
        <f>$G$19-(E20*E20*ab/2)</f>
        <v>3.4453125000000001E-2</v>
      </c>
      <c r="H20" s="188">
        <f t="shared" si="0"/>
        <v>34.453125</v>
      </c>
    </row>
    <row r="21" spans="4:11">
      <c r="D21">
        <v>5</v>
      </c>
      <c r="E21" s="187">
        <f>(t1b*(2/4))</f>
        <v>0.03</v>
      </c>
      <c r="F21" s="188">
        <f>F20+t1b*1/4</f>
        <v>0.36000000000000004</v>
      </c>
      <c r="G21" s="187">
        <f>$G$19-(E21*E21*ab/2)</f>
        <v>3.2812500000000001E-2</v>
      </c>
      <c r="H21" s="188">
        <f t="shared" si="0"/>
        <v>32.8125</v>
      </c>
    </row>
    <row r="22" spans="4:11">
      <c r="D22">
        <v>5</v>
      </c>
      <c r="E22" s="187">
        <f>(t1b*(3/4))</f>
        <v>4.4999999999999998E-2</v>
      </c>
      <c r="F22" s="188">
        <f>F21+t1b*1/4</f>
        <v>0.37500000000000006</v>
      </c>
      <c r="G22" s="187">
        <f>$G$19-(E22*E22*ab/2)</f>
        <v>3.0078125000000004E-2</v>
      </c>
      <c r="H22" s="188">
        <f t="shared" si="0"/>
        <v>30.078125000000004</v>
      </c>
    </row>
    <row r="23" spans="4:11">
      <c r="D23">
        <v>5</v>
      </c>
      <c r="E23" s="192">
        <f>(t1b*(4/4))</f>
        <v>0.06</v>
      </c>
      <c r="F23" s="193">
        <f>F22+t1b*1/4</f>
        <v>0.39000000000000007</v>
      </c>
      <c r="G23" s="192">
        <f>$G$19-(E23*E23*ab/2)</f>
        <v>2.6250000000000002E-2</v>
      </c>
      <c r="H23" s="193">
        <f t="shared" si="0"/>
        <v>26.250000000000004</v>
      </c>
    </row>
    <row r="24" spans="4:11">
      <c r="D24">
        <v>6</v>
      </c>
      <c r="E24" s="187">
        <f>t2b*(1/4)</f>
        <v>1.4999999999999999E-2</v>
      </c>
      <c r="F24" s="188">
        <f>F23+t2b*1/4</f>
        <v>0.40500000000000008</v>
      </c>
      <c r="G24" s="187">
        <f>G23-(Vb*(E24))</f>
        <v>2.1875000000000002E-2</v>
      </c>
      <c r="H24" s="188">
        <f t="shared" si="0"/>
        <v>21.875000000000004</v>
      </c>
    </row>
    <row r="25" spans="4:11">
      <c r="D25">
        <v>6</v>
      </c>
      <c r="E25" s="187">
        <f>t2b*(1/4)</f>
        <v>1.4999999999999999E-2</v>
      </c>
      <c r="F25" s="188">
        <f>F24+t2b*1/4</f>
        <v>0.4200000000000001</v>
      </c>
      <c r="G25" s="187">
        <f>G24-(Vb*(E25))</f>
        <v>1.7500000000000002E-2</v>
      </c>
      <c r="H25" s="188">
        <f t="shared" si="0"/>
        <v>17.5</v>
      </c>
    </row>
    <row r="26" spans="4:11">
      <c r="D26">
        <v>6</v>
      </c>
      <c r="E26" s="187">
        <f>t2b*(1/4)</f>
        <v>1.4999999999999999E-2</v>
      </c>
      <c r="F26" s="188">
        <f>F25+t2b*1/4</f>
        <v>0.43500000000000011</v>
      </c>
      <c r="G26" s="187">
        <f>G25-(Vb*(E26))</f>
        <v>1.3125000000000001E-2</v>
      </c>
      <c r="H26" s="188">
        <f t="shared" si="0"/>
        <v>13.125000000000002</v>
      </c>
    </row>
    <row r="27" spans="4:11">
      <c r="D27">
        <v>6</v>
      </c>
      <c r="E27" s="192">
        <f>t2b*(1/4)</f>
        <v>1.4999999999999999E-2</v>
      </c>
      <c r="F27" s="193">
        <f>F26+t2b*1/4</f>
        <v>0.45000000000000012</v>
      </c>
      <c r="G27" s="192">
        <f>G26-(Vb*(E27))</f>
        <v>8.7500000000000008E-3</v>
      </c>
      <c r="H27" s="193">
        <f t="shared" si="0"/>
        <v>8.75</v>
      </c>
    </row>
    <row r="28" spans="4:11">
      <c r="D28">
        <v>7</v>
      </c>
      <c r="E28" s="187">
        <f>(t3b*(1/4))</f>
        <v>1.4999999999999999E-2</v>
      </c>
      <c r="F28" s="188">
        <f>F27+t3b*1/4</f>
        <v>0.46500000000000014</v>
      </c>
      <c r="G28" s="187">
        <f>$G$27-(E28*E28*db)/2-(Vb-db*E28)*E28</f>
        <v>4.9218750000000009E-3</v>
      </c>
      <c r="H28" s="188">
        <f t="shared" si="0"/>
        <v>4.9218750000000009</v>
      </c>
    </row>
    <row r="29" spans="4:11">
      <c r="D29">
        <v>7</v>
      </c>
      <c r="E29" s="187">
        <f>(t3b*(2/4))</f>
        <v>0.03</v>
      </c>
      <c r="F29" s="188">
        <f>F28+t3b*1/4</f>
        <v>0.48000000000000015</v>
      </c>
      <c r="G29" s="187">
        <f>$G$27-(E29*E29*db)/2-(Vb-db*E29)*E29</f>
        <v>2.1875000000000002E-3</v>
      </c>
      <c r="H29" s="188">
        <f t="shared" si="0"/>
        <v>2.1875</v>
      </c>
    </row>
    <row r="30" spans="4:11">
      <c r="D30">
        <v>7</v>
      </c>
      <c r="E30" s="187">
        <f>(t3b*(3/4))</f>
        <v>4.4999999999999998E-2</v>
      </c>
      <c r="F30" s="188">
        <f>F29+t3b*1/4</f>
        <v>0.49500000000000016</v>
      </c>
      <c r="G30" s="187">
        <f>$G$27-(E30*E30*db)/2-(Vb-db*E30)*E30</f>
        <v>5.4687500000000135E-4</v>
      </c>
      <c r="H30" s="188">
        <f t="shared" si="0"/>
        <v>0.54687500000000133</v>
      </c>
      <c r="J30" s="3">
        <f>Max_speed-Deceleration*E12</f>
        <v>0.21875</v>
      </c>
    </row>
    <row r="31" spans="4:11">
      <c r="D31">
        <v>7</v>
      </c>
      <c r="E31" s="192">
        <f>(t3b*(4/4))</f>
        <v>0.06</v>
      </c>
      <c r="F31" s="193">
        <f>F30+t3b*1/4</f>
        <v>0.51000000000000012</v>
      </c>
      <c r="G31" s="192">
        <f>$G$27-(E31*E31*db)/2-(Vb-db*E31)*E31</f>
        <v>0</v>
      </c>
      <c r="H31" s="193">
        <f t="shared" si="0"/>
        <v>0</v>
      </c>
    </row>
    <row r="32" spans="4:11">
      <c r="D32">
        <v>8</v>
      </c>
      <c r="E32" s="187">
        <f>(t4b*(4/4))</f>
        <v>0.15</v>
      </c>
      <c r="F32" s="188">
        <f>F31+t4b*1/4</f>
        <v>0.5475000000000001</v>
      </c>
      <c r="G32" s="187">
        <f>G31</f>
        <v>0</v>
      </c>
      <c r="H32" s="188">
        <f t="shared" si="0"/>
        <v>0</v>
      </c>
    </row>
    <row r="33" spans="4:8">
      <c r="D33">
        <v>8</v>
      </c>
      <c r="E33" s="187">
        <f>(t4b*(4/4))</f>
        <v>0.15</v>
      </c>
      <c r="F33" s="188">
        <f>F32+t4b*1/4</f>
        <v>0.58500000000000008</v>
      </c>
      <c r="G33" s="187">
        <f>G32</f>
        <v>0</v>
      </c>
      <c r="H33" s="188">
        <f t="shared" si="0"/>
        <v>0</v>
      </c>
    </row>
    <row r="34" spans="4:8">
      <c r="D34">
        <v>8</v>
      </c>
      <c r="E34" s="187">
        <f>(t4b*(4/4))</f>
        <v>0.15</v>
      </c>
      <c r="F34" s="188">
        <f>F33+t4b*1/4</f>
        <v>0.62250000000000005</v>
      </c>
      <c r="G34" s="187">
        <f>G33</f>
        <v>0</v>
      </c>
      <c r="H34" s="188">
        <f t="shared" si="0"/>
        <v>0</v>
      </c>
    </row>
    <row r="35" spans="4:8">
      <c r="D35">
        <v>8</v>
      </c>
      <c r="E35" s="192">
        <f>(t4b*(4/4))</f>
        <v>0.15</v>
      </c>
      <c r="F35" s="193">
        <f>F34+t4b*1/4</f>
        <v>0.66</v>
      </c>
      <c r="G35" s="192">
        <f>G34</f>
        <v>0</v>
      </c>
      <c r="H35" s="193">
        <f t="shared" si="0"/>
        <v>0</v>
      </c>
    </row>
  </sheetData>
  <phoneticPr fontId="0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83</vt:i4>
      </vt:variant>
    </vt:vector>
  </HeadingPairs>
  <TitlesOfParts>
    <vt:vector size="87" baseType="lpstr">
      <vt:lpstr>INFO</vt:lpstr>
      <vt:lpstr>Calculation program</vt:lpstr>
      <vt:lpstr>MotorDataBase</vt:lpstr>
      <vt:lpstr>Don't change DATA</vt:lpstr>
      <vt:lpstr>_Rth1</vt:lpstr>
      <vt:lpstr>_Rth2</vt:lpstr>
      <vt:lpstr>ab</vt:lpstr>
      <vt:lpstr>Accel_time</vt:lpstr>
      <vt:lpstr>Acceleration</vt:lpstr>
      <vt:lpstr>Acceleration_section</vt:lpstr>
      <vt:lpstr>aemax</vt:lpstr>
      <vt:lpstr>alfa</vt:lpstr>
      <vt:lpstr>Cont_amps</vt:lpstr>
      <vt:lpstr>db</vt:lpstr>
      <vt:lpstr>dcb</vt:lpstr>
      <vt:lpstr>dcf</vt:lpstr>
      <vt:lpstr>Decel_time</vt:lpstr>
      <vt:lpstr>Deceleration</vt:lpstr>
      <vt:lpstr>Deceleration_section</vt:lpstr>
      <vt:lpstr>Dwell_time</vt:lpstr>
      <vt:lpstr>F_parallel</vt:lpstr>
      <vt:lpstr>Femax</vt:lpstr>
      <vt:lpstr>Ff</vt:lpstr>
      <vt:lpstr>fffffffff</vt:lpstr>
      <vt:lpstr>Fg</vt:lpstr>
      <vt:lpstr>Force_applied_acceleration</vt:lpstr>
      <vt:lpstr>Force_applied_deceleration</vt:lpstr>
      <vt:lpstr>Force_applied_stop</vt:lpstr>
      <vt:lpstr>Force_applied_traverse</vt:lpstr>
      <vt:lpstr>Fp</vt:lpstr>
      <vt:lpstr>Fpmax</vt:lpstr>
      <vt:lpstr>Friction_coefficient</vt:lpstr>
      <vt:lpstr>ft1b</vt:lpstr>
      <vt:lpstr>Ft1f</vt:lpstr>
      <vt:lpstr>Ft2b</vt:lpstr>
      <vt:lpstr>Ft3b</vt:lpstr>
      <vt:lpstr>Ft4b</vt:lpstr>
      <vt:lpstr>Fx</vt:lpstr>
      <vt:lpstr>Fxab</vt:lpstr>
      <vt:lpstr>Fxaf</vt:lpstr>
      <vt:lpstr>Fxdb</vt:lpstr>
      <vt:lpstr>Fxsb</vt:lpstr>
      <vt:lpstr>Fxtb</vt:lpstr>
      <vt:lpstr>Iemax</vt:lpstr>
      <vt:lpstr>Incline_angle</vt:lpstr>
      <vt:lpstr>Ip</vt:lpstr>
      <vt:lpstr>Ipmax</vt:lpstr>
      <vt:lpstr>KE</vt:lpstr>
      <vt:lpstr>kf</vt:lpstr>
      <vt:lpstr>LM0830_015</vt:lpstr>
      <vt:lpstr>Load</vt:lpstr>
      <vt:lpstr>m</vt:lpstr>
      <vt:lpstr>Max_speed</vt:lpstr>
      <vt:lpstr>mm</vt:lpstr>
      <vt:lpstr>Motors</vt:lpstr>
      <vt:lpstr>Move_distance</vt:lpstr>
      <vt:lpstr>'Calculation program'!Print_Area</vt:lpstr>
      <vt:lpstr>INFO!Print_Area</vt:lpstr>
      <vt:lpstr>Res</vt:lpstr>
      <vt:lpstr>RMS_force</vt:lpstr>
      <vt:lpstr>RRR</vt:lpstr>
      <vt:lpstr>rrrrr</vt:lpstr>
      <vt:lpstr>rrrrrrrr</vt:lpstr>
      <vt:lpstr>sb</vt:lpstr>
      <vt:lpstr>sd</vt:lpstr>
      <vt:lpstr>sf</vt:lpstr>
      <vt:lpstr>Slider_mass</vt:lpstr>
      <vt:lpstr>Stop_section</vt:lpstr>
      <vt:lpstr>T_c</vt:lpstr>
      <vt:lpstr>t1b</vt:lpstr>
      <vt:lpstr>t2b</vt:lpstr>
      <vt:lpstr>t3b</vt:lpstr>
      <vt:lpstr>t4b</vt:lpstr>
      <vt:lpstr>Ta</vt:lpstr>
      <vt:lpstr>Tc</vt:lpstr>
      <vt:lpstr>Tcoil</vt:lpstr>
      <vt:lpstr>tdb</vt:lpstr>
      <vt:lpstr>tdf</vt:lpstr>
      <vt:lpstr>TOO_HIGH</vt:lpstr>
      <vt:lpstr>Traverse_section</vt:lpstr>
      <vt:lpstr>Traverse_time</vt:lpstr>
      <vt:lpstr>ttb</vt:lpstr>
      <vt:lpstr>ttf</vt:lpstr>
      <vt:lpstr>tttt</vt:lpstr>
      <vt:lpstr>tttttt</vt:lpstr>
      <vt:lpstr>Vb</vt:lpstr>
      <vt:lpstr>Vemax</vt:lpstr>
    </vt:vector>
  </TitlesOfParts>
  <Company>MINIMOTOR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Baetscher</dc:creator>
  <cp:lastModifiedBy>Zecchin Mario</cp:lastModifiedBy>
  <cp:lastPrinted>2017-09-12T07:36:52Z</cp:lastPrinted>
  <dcterms:created xsi:type="dcterms:W3CDTF">2005-11-07T13:01:32Z</dcterms:created>
  <dcterms:modified xsi:type="dcterms:W3CDTF">2022-03-14T10:58:03Z</dcterms:modified>
</cp:coreProperties>
</file>